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EstaPastaDeTrabalho" defaultThemeVersion="166925"/>
  <mc:AlternateContent xmlns:mc="http://schemas.openxmlformats.org/markup-compatibility/2006">
    <mc:Choice Requires="x15">
      <x15ac:absPath xmlns:x15ac="http://schemas.microsoft.com/office/spreadsheetml/2010/11/ac" url="https://fiocruzbr-my.sharepoint.com/personal/camila_marques_fiocruz_br/Documents/P07 - Expansão 6º Pavimento/Orçamento Revisado_REV01/Licitação/Cotações/"/>
    </mc:Choice>
  </mc:AlternateContent>
  <xr:revisionPtr revIDLastSave="1564" documentId="14_{5D10726F-F7C9-46BE-B53A-49235DAB4E1C}" xr6:coauthVersionLast="47" xr6:coauthVersionMax="47" xr10:uidLastSave="{BAAD3EB3-F8E9-4B4D-98E4-4E6EA49447FC}"/>
  <bookViews>
    <workbookView xWindow="-120" yWindow="-120" windowWidth="29040" windowHeight="15720" tabRatio="708" activeTab="1" xr2:uid="{2EAAFEFA-E0D2-403F-A1FB-61FE27A07A9F}"/>
  </bookViews>
  <sheets>
    <sheet name="Mapa Cotação-Internet-FIOCRUZ" sheetId="1" r:id="rId1"/>
    <sheet name="Mapa Cotação -Propostas-FIOCRUZ" sheetId="3" r:id="rId2"/>
  </sheets>
  <definedNames>
    <definedName name="_xlnm._FilterDatabase" localSheetId="1" hidden="1">'Mapa Cotação -Propostas-FIOCRUZ'!$A$4:$S$130</definedName>
    <definedName name="_xlnm._FilterDatabase" localSheetId="0" hidden="1">'Mapa Cotação-Internet-FIOCRUZ'!$A$4:$W$280</definedName>
    <definedName name="_xlnm.Print_Area" localSheetId="1">'Mapa Cotação -Propostas-FIOCRUZ'!$A$1:$S$130</definedName>
    <definedName name="_xlnm.Print_Area" localSheetId="0">'Mapa Cotação-Internet-FIOCRUZ'!$A$1:$U$281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03" i="3" l="1"/>
  <c r="J103" i="3" s="1"/>
  <c r="I102" i="3"/>
  <c r="J102" i="3" s="1"/>
  <c r="I101" i="3"/>
  <c r="J101" i="3" s="1"/>
  <c r="L101" i="3" l="1"/>
  <c r="K101" i="3"/>
  <c r="M101" i="3" s="1"/>
  <c r="N102" i="3" l="1"/>
  <c r="O102" i="3"/>
  <c r="P103" i="3" l="1"/>
  <c r="Q103" i="3" s="1"/>
  <c r="P102" i="3"/>
  <c r="Q102" i="3" s="1"/>
  <c r="P101" i="3"/>
  <c r="Q101" i="3" s="1"/>
  <c r="R101" i="3"/>
  <c r="S101" i="3" l="1"/>
  <c r="K184" i="1" l="1"/>
  <c r="L184" i="1" s="1"/>
  <c r="K183" i="1"/>
  <c r="L183" i="1" s="1"/>
  <c r="K182" i="1"/>
  <c r="L182" i="1" s="1"/>
  <c r="K187" i="1"/>
  <c r="L187" i="1" s="1"/>
  <c r="K186" i="1"/>
  <c r="L186" i="1" s="1"/>
  <c r="K185" i="1"/>
  <c r="L185" i="1" s="1"/>
  <c r="K100" i="1"/>
  <c r="L100" i="1" s="1"/>
  <c r="K99" i="1"/>
  <c r="L99" i="1" s="1"/>
  <c r="K98" i="1"/>
  <c r="L98" i="1" s="1"/>
  <c r="K178" i="1"/>
  <c r="L178" i="1" s="1"/>
  <c r="K177" i="1"/>
  <c r="L177" i="1" s="1"/>
  <c r="K176" i="1"/>
  <c r="L176" i="1" s="1"/>
  <c r="K43" i="1"/>
  <c r="L43" i="1" s="1"/>
  <c r="K42" i="1"/>
  <c r="L42" i="1" s="1"/>
  <c r="K41" i="1"/>
  <c r="L41" i="1" s="1"/>
  <c r="I104" i="3"/>
  <c r="J104" i="3" s="1"/>
  <c r="K256" i="1"/>
  <c r="L256" i="1" s="1"/>
  <c r="K255" i="1"/>
  <c r="L255" i="1" s="1"/>
  <c r="K254" i="1"/>
  <c r="L254" i="1" s="1"/>
  <c r="K136" i="1"/>
  <c r="L136" i="1" s="1"/>
  <c r="K135" i="1"/>
  <c r="L135" i="1" s="1"/>
  <c r="K134" i="1"/>
  <c r="L134" i="1" s="1"/>
  <c r="K229" i="1"/>
  <c r="L229" i="1" s="1"/>
  <c r="K228" i="1"/>
  <c r="L228" i="1" s="1"/>
  <c r="K227" i="1"/>
  <c r="L227" i="1" s="1"/>
  <c r="K55" i="1"/>
  <c r="L55" i="1" s="1"/>
  <c r="K54" i="1"/>
  <c r="L54" i="1" s="1"/>
  <c r="K53" i="1"/>
  <c r="L53" i="1" s="1"/>
  <c r="K226" i="1"/>
  <c r="L226" i="1" s="1"/>
  <c r="K225" i="1"/>
  <c r="L225" i="1" s="1"/>
  <c r="K224" i="1"/>
  <c r="L224" i="1" s="1"/>
  <c r="I238" i="1"/>
  <c r="I237" i="1"/>
  <c r="I236" i="1"/>
  <c r="K238" i="1"/>
  <c r="K237" i="1"/>
  <c r="K236" i="1"/>
  <c r="N182" i="1" l="1"/>
  <c r="M182" i="1"/>
  <c r="N185" i="1"/>
  <c r="M185" i="1"/>
  <c r="N98" i="1"/>
  <c r="M98" i="1"/>
  <c r="M176" i="1"/>
  <c r="N176" i="1"/>
  <c r="M41" i="1"/>
  <c r="N41" i="1"/>
  <c r="N254" i="1"/>
  <c r="M254" i="1"/>
  <c r="N134" i="1"/>
  <c r="M134" i="1"/>
  <c r="N227" i="1"/>
  <c r="M227" i="1"/>
  <c r="M53" i="1"/>
  <c r="N53" i="1"/>
  <c r="M224" i="1"/>
  <c r="N224" i="1"/>
  <c r="L238" i="1"/>
  <c r="L237" i="1"/>
  <c r="L236" i="1"/>
  <c r="K265" i="1"/>
  <c r="L265" i="1" s="1"/>
  <c r="K264" i="1"/>
  <c r="L264" i="1" s="1"/>
  <c r="K263" i="1"/>
  <c r="L263" i="1" s="1"/>
  <c r="M236" i="1" l="1"/>
  <c r="N236" i="1"/>
  <c r="O182" i="1"/>
  <c r="O185" i="1"/>
  <c r="O98" i="1"/>
  <c r="Q99" i="1" s="1"/>
  <c r="O176" i="1"/>
  <c r="O41" i="1"/>
  <c r="Q42" i="1" s="1"/>
  <c r="O254" i="1"/>
  <c r="P255" i="1" s="1"/>
  <c r="O134" i="1"/>
  <c r="O227" i="1"/>
  <c r="O53" i="1"/>
  <c r="O224" i="1"/>
  <c r="N263" i="1"/>
  <c r="M263" i="1"/>
  <c r="K109" i="1"/>
  <c r="K108" i="1"/>
  <c r="K107" i="1"/>
  <c r="K232" i="1"/>
  <c r="L232" i="1" s="1"/>
  <c r="K231" i="1"/>
  <c r="L231" i="1" s="1"/>
  <c r="K230" i="1"/>
  <c r="L230" i="1" s="1"/>
  <c r="K223" i="1"/>
  <c r="L223" i="1" s="1"/>
  <c r="K222" i="1"/>
  <c r="L222" i="1" s="1"/>
  <c r="K221" i="1"/>
  <c r="L221" i="1" s="1"/>
  <c r="O236" i="1" l="1"/>
  <c r="Q237" i="1" s="1"/>
  <c r="O263" i="1"/>
  <c r="Q183" i="1"/>
  <c r="P183" i="1"/>
  <c r="R184" i="1" s="1"/>
  <c r="S184" i="1" s="1"/>
  <c r="Q186" i="1"/>
  <c r="P186" i="1"/>
  <c r="R187" i="1" s="1"/>
  <c r="S187" i="1" s="1"/>
  <c r="P99" i="1"/>
  <c r="R100" i="1" s="1"/>
  <c r="S100" i="1" s="1"/>
  <c r="Q177" i="1"/>
  <c r="P177" i="1"/>
  <c r="R178" i="1" s="1"/>
  <c r="S178" i="1" s="1"/>
  <c r="P42" i="1"/>
  <c r="R43" i="1" s="1"/>
  <c r="S43" i="1" s="1"/>
  <c r="R42" i="1"/>
  <c r="S42" i="1" s="1"/>
  <c r="R41" i="1"/>
  <c r="S41" i="1" s="1"/>
  <c r="Q255" i="1"/>
  <c r="R254" i="1" s="1"/>
  <c r="S254" i="1" s="1"/>
  <c r="R255" i="1"/>
  <c r="S255" i="1" s="1"/>
  <c r="R256" i="1"/>
  <c r="S256" i="1" s="1"/>
  <c r="Q135" i="1"/>
  <c r="P135" i="1"/>
  <c r="R136" i="1" s="1"/>
  <c r="S136" i="1" s="1"/>
  <c r="Q228" i="1"/>
  <c r="P228" i="1"/>
  <c r="Q54" i="1"/>
  <c r="P54" i="1"/>
  <c r="R55" i="1" s="1"/>
  <c r="S55" i="1" s="1"/>
  <c r="R53" i="1"/>
  <c r="S53" i="1" s="1"/>
  <c r="Q225" i="1"/>
  <c r="P225" i="1"/>
  <c r="P237" i="1"/>
  <c r="R238" i="1"/>
  <c r="S238" i="1" s="1"/>
  <c r="R236" i="1"/>
  <c r="S236" i="1" s="1"/>
  <c r="R237" i="1"/>
  <c r="S237" i="1" s="1"/>
  <c r="R263" i="1"/>
  <c r="S263" i="1" s="1"/>
  <c r="R265" i="1"/>
  <c r="S265" i="1" s="1"/>
  <c r="R264" i="1"/>
  <c r="S264" i="1" s="1"/>
  <c r="Q264" i="1"/>
  <c r="P264" i="1"/>
  <c r="N230" i="1"/>
  <c r="M230" i="1"/>
  <c r="N221" i="1"/>
  <c r="M221" i="1"/>
  <c r="K247" i="1"/>
  <c r="K246" i="1"/>
  <c r="K245" i="1"/>
  <c r="K244" i="1"/>
  <c r="K243" i="1"/>
  <c r="K242" i="1"/>
  <c r="I61" i="3"/>
  <c r="I60" i="3"/>
  <c r="I59" i="3"/>
  <c r="I58" i="3"/>
  <c r="I57" i="3"/>
  <c r="I56" i="3"/>
  <c r="I55" i="3"/>
  <c r="I54" i="3"/>
  <c r="I53" i="3"/>
  <c r="I51" i="3"/>
  <c r="O221" i="1" l="1"/>
  <c r="T41" i="1"/>
  <c r="U41" i="1" s="1"/>
  <c r="R228" i="1"/>
  <c r="S228" i="1" s="1"/>
  <c r="T53" i="1"/>
  <c r="U53" i="1" s="1"/>
  <c r="R183" i="1"/>
  <c r="S183" i="1" s="1"/>
  <c r="R182" i="1"/>
  <c r="S182" i="1" s="1"/>
  <c r="T185" i="1"/>
  <c r="U185" i="1" s="1"/>
  <c r="R185" i="1"/>
  <c r="S185" i="1" s="1"/>
  <c r="R186" i="1"/>
  <c r="S186" i="1" s="1"/>
  <c r="R98" i="1"/>
  <c r="S98" i="1" s="1"/>
  <c r="R99" i="1"/>
  <c r="S99" i="1" s="1"/>
  <c r="R177" i="1"/>
  <c r="S177" i="1" s="1"/>
  <c r="R176" i="1"/>
  <c r="S176" i="1" s="1"/>
  <c r="T254" i="1"/>
  <c r="U254" i="1" s="1"/>
  <c r="R134" i="1"/>
  <c r="S134" i="1" s="1"/>
  <c r="R135" i="1"/>
  <c r="S135" i="1" s="1"/>
  <c r="R229" i="1"/>
  <c r="S229" i="1" s="1"/>
  <c r="R227" i="1"/>
  <c r="S227" i="1" s="1"/>
  <c r="T227" i="1" s="1"/>
  <c r="U227" i="1" s="1"/>
  <c r="R54" i="1"/>
  <c r="S54" i="1" s="1"/>
  <c r="R226" i="1"/>
  <c r="S226" i="1" s="1"/>
  <c r="R224" i="1"/>
  <c r="S224" i="1" s="1"/>
  <c r="R225" i="1"/>
  <c r="S225" i="1" s="1"/>
  <c r="T236" i="1"/>
  <c r="U236" i="1" s="1"/>
  <c r="T263" i="1"/>
  <c r="U263" i="1" s="1"/>
  <c r="O230" i="1"/>
  <c r="P231" i="1" s="1"/>
  <c r="R232" i="1" s="1"/>
  <c r="S232" i="1" s="1"/>
  <c r="R221" i="1"/>
  <c r="S221" i="1" s="1"/>
  <c r="R223" i="1"/>
  <c r="S223" i="1" s="1"/>
  <c r="P222" i="1"/>
  <c r="R222" i="1"/>
  <c r="S222" i="1" s="1"/>
  <c r="Q222" i="1"/>
  <c r="T98" i="1" l="1"/>
  <c r="U98" i="1" s="1"/>
  <c r="T176" i="1"/>
  <c r="U176" i="1" s="1"/>
  <c r="T182" i="1"/>
  <c r="U182" i="1" s="1"/>
  <c r="T134" i="1"/>
  <c r="U134" i="1" s="1"/>
  <c r="T224" i="1"/>
  <c r="U224" i="1" s="1"/>
  <c r="R231" i="1"/>
  <c r="S231" i="1" s="1"/>
  <c r="Q231" i="1"/>
  <c r="R230" i="1"/>
  <c r="S230" i="1" s="1"/>
  <c r="T221" i="1"/>
  <c r="U221" i="1" s="1"/>
  <c r="T230" i="1" l="1"/>
  <c r="U230" i="1" s="1"/>
  <c r="I91" i="3" l="1"/>
  <c r="J91" i="3" s="1"/>
  <c r="I90" i="3"/>
  <c r="J90" i="3" s="1"/>
  <c r="I89" i="3"/>
  <c r="J89" i="3" s="1"/>
  <c r="I88" i="3"/>
  <c r="J88" i="3" s="1"/>
  <c r="I87" i="3"/>
  <c r="J87" i="3" s="1"/>
  <c r="I86" i="3"/>
  <c r="J86" i="3" s="1"/>
  <c r="I85" i="3"/>
  <c r="J85" i="3" s="1"/>
  <c r="I84" i="3"/>
  <c r="J84" i="3" s="1"/>
  <c r="I83" i="3"/>
  <c r="J83" i="3" s="1"/>
  <c r="I82" i="3"/>
  <c r="J82" i="3" s="1"/>
  <c r="I81" i="3"/>
  <c r="J81" i="3" s="1"/>
  <c r="I80" i="3"/>
  <c r="J80" i="3" s="1"/>
  <c r="I79" i="3"/>
  <c r="J79" i="3" s="1"/>
  <c r="I78" i="3"/>
  <c r="J78" i="3" s="1"/>
  <c r="I77" i="3"/>
  <c r="J77" i="3" s="1"/>
  <c r="I76" i="3"/>
  <c r="J76" i="3" s="1"/>
  <c r="I75" i="3"/>
  <c r="J75" i="3" s="1"/>
  <c r="I74" i="3"/>
  <c r="J74" i="3" s="1"/>
  <c r="I73" i="3"/>
  <c r="J73" i="3" s="1"/>
  <c r="I72" i="3"/>
  <c r="J72" i="3" s="1"/>
  <c r="I71" i="3"/>
  <c r="J71" i="3" s="1"/>
  <c r="I70" i="3"/>
  <c r="J70" i="3" s="1"/>
  <c r="I69" i="3"/>
  <c r="J69" i="3" s="1"/>
  <c r="I68" i="3"/>
  <c r="J68" i="3" s="1"/>
  <c r="I67" i="3"/>
  <c r="J67" i="3" s="1"/>
  <c r="I66" i="3"/>
  <c r="J66" i="3" s="1"/>
  <c r="I65" i="3"/>
  <c r="J65" i="3" s="1"/>
  <c r="I64" i="3"/>
  <c r="J64" i="3" s="1"/>
  <c r="I63" i="3"/>
  <c r="J63" i="3" s="1"/>
  <c r="I62" i="3"/>
  <c r="J62" i="3" s="1"/>
  <c r="J213" i="1" l="1"/>
  <c r="J210" i="1"/>
  <c r="J207" i="1"/>
  <c r="J204" i="1"/>
  <c r="J201" i="1"/>
  <c r="J96" i="1"/>
  <c r="J93" i="1"/>
  <c r="J90" i="1"/>
  <c r="J87" i="1"/>
  <c r="J84" i="1"/>
  <c r="J81" i="1"/>
  <c r="J78" i="1"/>
  <c r="J75" i="1"/>
  <c r="J69" i="1"/>
  <c r="J51" i="3"/>
  <c r="H50" i="3"/>
  <c r="I48" i="3"/>
  <c r="J48" i="3" s="1"/>
  <c r="H47" i="3"/>
  <c r="I47" i="3" s="1"/>
  <c r="J47" i="3" s="1"/>
  <c r="I45" i="3"/>
  <c r="J45" i="3" s="1"/>
  <c r="I44" i="3"/>
  <c r="J44" i="3" s="1"/>
  <c r="H46" i="3"/>
  <c r="I46" i="3" s="1"/>
  <c r="J46" i="3" s="1"/>
  <c r="I42" i="3"/>
  <c r="J42" i="3" s="1"/>
  <c r="H41" i="3"/>
  <c r="I41" i="3" s="1"/>
  <c r="J41" i="3" s="1"/>
  <c r="I39" i="3"/>
  <c r="J39" i="3" s="1"/>
  <c r="H38" i="3"/>
  <c r="I38" i="3" s="1"/>
  <c r="J38" i="3" s="1"/>
  <c r="I36" i="3"/>
  <c r="J36" i="3" s="1"/>
  <c r="H35" i="3"/>
  <c r="I35" i="3" s="1"/>
  <c r="J35" i="3" s="1"/>
  <c r="I33" i="3"/>
  <c r="J33" i="3" s="1"/>
  <c r="H32" i="3"/>
  <c r="I32" i="3" s="1"/>
  <c r="J32" i="3" s="1"/>
  <c r="I30" i="3"/>
  <c r="J30" i="3" s="1"/>
  <c r="H29" i="3"/>
  <c r="H31" i="3" s="1"/>
  <c r="I31" i="3" s="1"/>
  <c r="J31" i="3" s="1"/>
  <c r="H26" i="3"/>
  <c r="I26" i="3" s="1"/>
  <c r="J26" i="3" s="1"/>
  <c r="H23" i="3"/>
  <c r="I23" i="3" s="1"/>
  <c r="J23" i="3" s="1"/>
  <c r="I27" i="3"/>
  <c r="J27" i="3" s="1"/>
  <c r="I24" i="3"/>
  <c r="J24" i="3" s="1"/>
  <c r="H20" i="3"/>
  <c r="I20" i="3" s="1"/>
  <c r="J20" i="3" s="1"/>
  <c r="I21" i="3"/>
  <c r="J21" i="3" s="1"/>
  <c r="I18" i="3"/>
  <c r="J18" i="3" s="1"/>
  <c r="H17" i="3"/>
  <c r="H19" i="3" s="1"/>
  <c r="I19" i="3" s="1"/>
  <c r="J19" i="3" s="1"/>
  <c r="I15" i="3"/>
  <c r="J15" i="3" s="1"/>
  <c r="I12" i="3"/>
  <c r="J12" i="3" s="1"/>
  <c r="H14" i="3"/>
  <c r="I14" i="3" s="1"/>
  <c r="J14" i="3" s="1"/>
  <c r="H11" i="3"/>
  <c r="H13" i="3" s="1"/>
  <c r="I13" i="3" s="1"/>
  <c r="J13" i="3" s="1"/>
  <c r="H52" i="3" l="1"/>
  <c r="I50" i="3"/>
  <c r="J50" i="3"/>
  <c r="H49" i="3"/>
  <c r="I49" i="3" s="1"/>
  <c r="J49" i="3" s="1"/>
  <c r="H43" i="3"/>
  <c r="I43" i="3" s="1"/>
  <c r="J43" i="3" s="1"/>
  <c r="H40" i="3"/>
  <c r="I40" i="3" s="1"/>
  <c r="J40" i="3" s="1"/>
  <c r="H34" i="3"/>
  <c r="I34" i="3" s="1"/>
  <c r="J34" i="3" s="1"/>
  <c r="H37" i="3"/>
  <c r="I37" i="3" s="1"/>
  <c r="J37" i="3" s="1"/>
  <c r="H25" i="3"/>
  <c r="I25" i="3" s="1"/>
  <c r="J25" i="3" s="1"/>
  <c r="H28" i="3"/>
  <c r="I28" i="3" s="1"/>
  <c r="J28" i="3" s="1"/>
  <c r="I29" i="3"/>
  <c r="J29" i="3" s="1"/>
  <c r="H22" i="3"/>
  <c r="I22" i="3" s="1"/>
  <c r="J22" i="3" s="1"/>
  <c r="H16" i="3"/>
  <c r="I16" i="3" s="1"/>
  <c r="J16" i="3" s="1"/>
  <c r="I17" i="3"/>
  <c r="J17" i="3" s="1"/>
  <c r="I11" i="3"/>
  <c r="J11" i="3" s="1"/>
  <c r="I52" i="3" l="1"/>
  <c r="J52" i="3" s="1"/>
  <c r="I214" i="1"/>
  <c r="I211" i="1"/>
  <c r="I208" i="1"/>
  <c r="I205" i="1"/>
  <c r="I202" i="1"/>
  <c r="I97" i="1"/>
  <c r="I94" i="1"/>
  <c r="I91" i="1"/>
  <c r="I88" i="1"/>
  <c r="I85" i="1"/>
  <c r="I82" i="1"/>
  <c r="I79" i="1"/>
  <c r="I73" i="1"/>
  <c r="I70" i="1"/>
  <c r="J67" i="1" l="1"/>
  <c r="J65" i="1"/>
  <c r="I67" i="1"/>
  <c r="K8" i="1"/>
  <c r="L8" i="1" s="1"/>
  <c r="K7" i="1"/>
  <c r="L7" i="1" s="1"/>
  <c r="K6" i="1"/>
  <c r="L6" i="1" s="1"/>
  <c r="K5" i="1"/>
  <c r="L5" i="1" s="1"/>
  <c r="N5" i="1" l="1"/>
  <c r="M5" i="1"/>
  <c r="K199" i="1" l="1"/>
  <c r="L199" i="1" s="1"/>
  <c r="K198" i="1"/>
  <c r="L198" i="1" s="1"/>
  <c r="K197" i="1"/>
  <c r="L197" i="1" s="1"/>
  <c r="N197" i="1" l="1"/>
  <c r="M197" i="1"/>
  <c r="O197" i="1" l="1"/>
  <c r="Q198" i="1"/>
  <c r="P198" i="1"/>
  <c r="R199" i="1" s="1"/>
  <c r="S199" i="1" s="1"/>
  <c r="R198" i="1" l="1"/>
  <c r="S198" i="1" s="1"/>
  <c r="R197" i="1"/>
  <c r="S197" i="1" s="1"/>
  <c r="T197" i="1"/>
  <c r="U197" i="1" s="1"/>
  <c r="I130" i="3"/>
  <c r="J130" i="3" s="1"/>
  <c r="I129" i="3"/>
  <c r="J129" i="3" s="1"/>
  <c r="I128" i="3"/>
  <c r="J128" i="3" s="1"/>
  <c r="I127" i="3"/>
  <c r="J127" i="3" s="1"/>
  <c r="I126" i="3"/>
  <c r="J126" i="3" s="1"/>
  <c r="I125" i="3"/>
  <c r="J125" i="3" s="1"/>
  <c r="I124" i="3"/>
  <c r="J124" i="3" s="1"/>
  <c r="I123" i="3"/>
  <c r="J123" i="3" s="1"/>
  <c r="I122" i="3"/>
  <c r="J122" i="3" s="1"/>
  <c r="I121" i="3"/>
  <c r="J121" i="3" s="1"/>
  <c r="I120" i="3"/>
  <c r="J120" i="3" s="1"/>
  <c r="I119" i="3"/>
  <c r="J119" i="3" s="1"/>
  <c r="I118" i="3"/>
  <c r="J118" i="3" s="1"/>
  <c r="I117" i="3"/>
  <c r="J117" i="3" s="1"/>
  <c r="I116" i="3"/>
  <c r="J116" i="3" s="1"/>
  <c r="I115" i="3"/>
  <c r="J115" i="3" s="1"/>
  <c r="I114" i="3"/>
  <c r="J114" i="3" s="1"/>
  <c r="I113" i="3"/>
  <c r="J113" i="3" s="1"/>
  <c r="I112" i="3"/>
  <c r="J112" i="3" s="1"/>
  <c r="I111" i="3"/>
  <c r="J111" i="3" s="1"/>
  <c r="I110" i="3"/>
  <c r="J110" i="3" s="1"/>
  <c r="I109" i="3"/>
  <c r="J109" i="3" s="1"/>
  <c r="I108" i="3"/>
  <c r="J108" i="3" s="1"/>
  <c r="I107" i="3"/>
  <c r="J107" i="3" s="1"/>
  <c r="I106" i="3"/>
  <c r="J106" i="3" s="1"/>
  <c r="I105" i="3"/>
  <c r="J105" i="3" s="1"/>
  <c r="I10" i="3"/>
  <c r="J10" i="3" s="1"/>
  <c r="I9" i="3"/>
  <c r="J9" i="3" s="1"/>
  <c r="I8" i="3"/>
  <c r="J8" i="3" s="1"/>
  <c r="I7" i="3"/>
  <c r="J7" i="3" s="1"/>
  <c r="I6" i="3"/>
  <c r="J6" i="3" s="1"/>
  <c r="I5" i="3"/>
  <c r="J5" i="3" s="1"/>
  <c r="I100" i="3"/>
  <c r="J100" i="3" s="1"/>
  <c r="I99" i="3"/>
  <c r="J99" i="3" s="1"/>
  <c r="I98" i="3"/>
  <c r="I97" i="3"/>
  <c r="J97" i="3" s="1"/>
  <c r="I96" i="3"/>
  <c r="J96" i="3" s="1"/>
  <c r="I95" i="3"/>
  <c r="L128" i="3" l="1"/>
  <c r="K128" i="3"/>
  <c r="L125" i="3"/>
  <c r="K125" i="3"/>
  <c r="L122" i="3"/>
  <c r="K122" i="3"/>
  <c r="K119" i="3"/>
  <c r="L119" i="3"/>
  <c r="K116" i="3"/>
  <c r="L116" i="3"/>
  <c r="L113" i="3"/>
  <c r="K113" i="3"/>
  <c r="L110" i="3"/>
  <c r="K110" i="3"/>
  <c r="L104" i="3"/>
  <c r="K104" i="3"/>
  <c r="L107" i="3"/>
  <c r="K107" i="3"/>
  <c r="L5" i="3"/>
  <c r="K5" i="3"/>
  <c r="L8" i="3"/>
  <c r="K8" i="3"/>
  <c r="J98" i="3"/>
  <c r="L98" i="3" s="1"/>
  <c r="J95" i="3"/>
  <c r="L95" i="3" s="1"/>
  <c r="K69" i="1"/>
  <c r="L69" i="1" s="1"/>
  <c r="M104" i="3" l="1"/>
  <c r="M113" i="3"/>
  <c r="M128" i="3"/>
  <c r="O129" i="3" s="1"/>
  <c r="M125" i="3"/>
  <c r="O126" i="3" s="1"/>
  <c r="M107" i="3"/>
  <c r="O108" i="3" s="1"/>
  <c r="M122" i="3"/>
  <c r="M119" i="3"/>
  <c r="M116" i="3"/>
  <c r="O114" i="3"/>
  <c r="N114" i="3"/>
  <c r="M110" i="3"/>
  <c r="M8" i="3"/>
  <c r="N9" i="3" s="1"/>
  <c r="M5" i="3"/>
  <c r="K98" i="3"/>
  <c r="M98" i="3" s="1"/>
  <c r="O99" i="3" s="1"/>
  <c r="K95" i="3"/>
  <c r="M95" i="3" s="1"/>
  <c r="N96" i="3" s="1"/>
  <c r="K250" i="1"/>
  <c r="L250" i="1" s="1"/>
  <c r="K249" i="1"/>
  <c r="L249" i="1" s="1"/>
  <c r="K248" i="1"/>
  <c r="L248" i="1" s="1"/>
  <c r="K217" i="1"/>
  <c r="L217" i="1" s="1"/>
  <c r="K216" i="1"/>
  <c r="L216" i="1" s="1"/>
  <c r="K215" i="1"/>
  <c r="L215" i="1" s="1"/>
  <c r="K214" i="1"/>
  <c r="L214" i="1" s="1"/>
  <c r="K213" i="1"/>
  <c r="L213" i="1" s="1"/>
  <c r="K212" i="1"/>
  <c r="L212" i="1" s="1"/>
  <c r="K211" i="1"/>
  <c r="L211" i="1" s="1"/>
  <c r="K210" i="1"/>
  <c r="L210" i="1" s="1"/>
  <c r="K209" i="1"/>
  <c r="L209" i="1" s="1"/>
  <c r="K208" i="1"/>
  <c r="L208" i="1" s="1"/>
  <c r="K207" i="1"/>
  <c r="L207" i="1" s="1"/>
  <c r="K206" i="1"/>
  <c r="L206" i="1" s="1"/>
  <c r="K205" i="1"/>
  <c r="L205" i="1" s="1"/>
  <c r="K204" i="1"/>
  <c r="L204" i="1" s="1"/>
  <c r="K203" i="1"/>
  <c r="L203" i="1" s="1"/>
  <c r="K202" i="1"/>
  <c r="L202" i="1" s="1"/>
  <c r="K201" i="1"/>
  <c r="L201" i="1" s="1"/>
  <c r="K200" i="1"/>
  <c r="L200" i="1" s="1"/>
  <c r="K97" i="1"/>
  <c r="L97" i="1" s="1"/>
  <c r="K96" i="1"/>
  <c r="L96" i="1" s="1"/>
  <c r="K95" i="1"/>
  <c r="L95" i="1" s="1"/>
  <c r="K94" i="1"/>
  <c r="L94" i="1" s="1"/>
  <c r="K93" i="1"/>
  <c r="L93" i="1" s="1"/>
  <c r="K92" i="1"/>
  <c r="L92" i="1" s="1"/>
  <c r="K91" i="1"/>
  <c r="L91" i="1" s="1"/>
  <c r="K90" i="1"/>
  <c r="L90" i="1" s="1"/>
  <c r="K89" i="1"/>
  <c r="L89" i="1" s="1"/>
  <c r="O105" i="3" l="1"/>
  <c r="N126" i="3"/>
  <c r="P125" i="3" s="1"/>
  <c r="Q125" i="3" s="1"/>
  <c r="O9" i="3"/>
  <c r="R8" i="3" s="1"/>
  <c r="S8" i="3" s="1"/>
  <c r="P127" i="3"/>
  <c r="Q127" i="3" s="1"/>
  <c r="P114" i="3"/>
  <c r="Q114" i="3" s="1"/>
  <c r="N105" i="3"/>
  <c r="P105" i="3" s="1"/>
  <c r="Q105" i="3" s="1"/>
  <c r="R113" i="3"/>
  <c r="S113" i="3" s="1"/>
  <c r="R125" i="3"/>
  <c r="S125" i="3" s="1"/>
  <c r="N129" i="3"/>
  <c r="R128" i="3" s="1"/>
  <c r="S128" i="3" s="1"/>
  <c r="N108" i="3"/>
  <c r="P109" i="3" s="1"/>
  <c r="Q109" i="3" s="1"/>
  <c r="O123" i="3"/>
  <c r="N123" i="3"/>
  <c r="O120" i="3"/>
  <c r="N120" i="3"/>
  <c r="O117" i="3"/>
  <c r="N117" i="3"/>
  <c r="P113" i="3"/>
  <c r="Q113" i="3" s="1"/>
  <c r="P115" i="3"/>
  <c r="Q115" i="3" s="1"/>
  <c r="O111" i="3"/>
  <c r="N111" i="3"/>
  <c r="O6" i="3"/>
  <c r="N6" i="3"/>
  <c r="N99" i="3"/>
  <c r="P100" i="3" s="1"/>
  <c r="Q100" i="3" s="1"/>
  <c r="O96" i="3"/>
  <c r="P97" i="3" s="1"/>
  <c r="Q97" i="3" s="1"/>
  <c r="N248" i="1"/>
  <c r="M248" i="1"/>
  <c r="N215" i="1"/>
  <c r="M215" i="1"/>
  <c r="N206" i="1"/>
  <c r="M206" i="1"/>
  <c r="N209" i="1"/>
  <c r="M209" i="1"/>
  <c r="N212" i="1"/>
  <c r="M212" i="1"/>
  <c r="N203" i="1"/>
  <c r="M203" i="1"/>
  <c r="N200" i="1"/>
  <c r="M200" i="1"/>
  <c r="N95" i="1"/>
  <c r="M95" i="1"/>
  <c r="N89" i="1"/>
  <c r="M89" i="1"/>
  <c r="M92" i="1"/>
  <c r="N92" i="1"/>
  <c r="P8" i="3" l="1"/>
  <c r="Q8" i="3" s="1"/>
  <c r="P126" i="3"/>
  <c r="Q126" i="3" s="1"/>
  <c r="P104" i="3"/>
  <c r="Q104" i="3" s="1"/>
  <c r="P9" i="3"/>
  <c r="Q9" i="3" s="1"/>
  <c r="P10" i="3"/>
  <c r="Q10" i="3" s="1"/>
  <c r="R104" i="3"/>
  <c r="S104" i="3" s="1"/>
  <c r="P106" i="3"/>
  <c r="Q106" i="3" s="1"/>
  <c r="P99" i="3"/>
  <c r="Q99" i="3" s="1"/>
  <c r="R122" i="3"/>
  <c r="S122" i="3" s="1"/>
  <c r="P6" i="3"/>
  <c r="Q6" i="3" s="1"/>
  <c r="P122" i="3"/>
  <c r="Q122" i="3" s="1"/>
  <c r="P128" i="3"/>
  <c r="Q128" i="3" s="1"/>
  <c r="P129" i="3"/>
  <c r="Q129" i="3" s="1"/>
  <c r="P124" i="3"/>
  <c r="Q124" i="3" s="1"/>
  <c r="P130" i="3"/>
  <c r="Q130" i="3" s="1"/>
  <c r="P123" i="3"/>
  <c r="Q123" i="3" s="1"/>
  <c r="P107" i="3"/>
  <c r="Q107" i="3" s="1"/>
  <c r="P108" i="3"/>
  <c r="Q108" i="3" s="1"/>
  <c r="P98" i="3"/>
  <c r="Q98" i="3" s="1"/>
  <c r="P110" i="3"/>
  <c r="Q110" i="3" s="1"/>
  <c r="R107" i="3"/>
  <c r="S107" i="3" s="1"/>
  <c r="R119" i="3"/>
  <c r="S119" i="3" s="1"/>
  <c r="P120" i="3"/>
  <c r="Q120" i="3" s="1"/>
  <c r="P119" i="3"/>
  <c r="Q119" i="3" s="1"/>
  <c r="P121" i="3"/>
  <c r="Q121" i="3" s="1"/>
  <c r="R116" i="3"/>
  <c r="S116" i="3" s="1"/>
  <c r="P117" i="3"/>
  <c r="Q117" i="3" s="1"/>
  <c r="P116" i="3"/>
  <c r="Q116" i="3" s="1"/>
  <c r="P118" i="3"/>
  <c r="Q118" i="3" s="1"/>
  <c r="R110" i="3"/>
  <c r="S110" i="3" s="1"/>
  <c r="P112" i="3"/>
  <c r="Q112" i="3" s="1"/>
  <c r="P5" i="3"/>
  <c r="Q5" i="3" s="1"/>
  <c r="P7" i="3"/>
  <c r="Q7" i="3" s="1"/>
  <c r="P111" i="3"/>
  <c r="Q111" i="3" s="1"/>
  <c r="R5" i="3"/>
  <c r="S5" i="3" s="1"/>
  <c r="R98" i="3"/>
  <c r="S98" i="3" s="1"/>
  <c r="R95" i="3"/>
  <c r="S95" i="3" s="1"/>
  <c r="P96" i="3"/>
  <c r="Q96" i="3" s="1"/>
  <c r="P95" i="3"/>
  <c r="Q95" i="3" s="1"/>
  <c r="O89" i="1"/>
  <c r="Q90" i="1" s="1"/>
  <c r="O203" i="1"/>
  <c r="Q204" i="1" s="1"/>
  <c r="O215" i="1"/>
  <c r="P216" i="1" s="1"/>
  <c r="O200" i="1"/>
  <c r="O212" i="1"/>
  <c r="Q213" i="1" s="1"/>
  <c r="O248" i="1"/>
  <c r="R249" i="1" s="1"/>
  <c r="S249" i="1" s="1"/>
  <c r="O209" i="1"/>
  <c r="Q210" i="1" s="1"/>
  <c r="O206" i="1"/>
  <c r="O95" i="1"/>
  <c r="P96" i="1" s="1"/>
  <c r="O92" i="1"/>
  <c r="P90" i="1" l="1"/>
  <c r="R91" i="1" s="1"/>
  <c r="S91" i="1" s="1"/>
  <c r="P204" i="1"/>
  <c r="R205" i="1" s="1"/>
  <c r="S205" i="1" s="1"/>
  <c r="Q216" i="1"/>
  <c r="T215" i="1" s="1"/>
  <c r="U215" i="1" s="1"/>
  <c r="P201" i="1"/>
  <c r="Q201" i="1"/>
  <c r="P213" i="1"/>
  <c r="R214" i="1" s="1"/>
  <c r="S214" i="1" s="1"/>
  <c r="Q207" i="1"/>
  <c r="P207" i="1"/>
  <c r="R248" i="1"/>
  <c r="S248" i="1" s="1"/>
  <c r="R250" i="1"/>
  <c r="S250" i="1" s="1"/>
  <c r="P249" i="1"/>
  <c r="Q249" i="1"/>
  <c r="P210" i="1"/>
  <c r="R209" i="1" s="1"/>
  <c r="S209" i="1" s="1"/>
  <c r="Q96" i="1"/>
  <c r="R96" i="1" s="1"/>
  <c r="S96" i="1" s="1"/>
  <c r="P93" i="1"/>
  <c r="Q93" i="1"/>
  <c r="R203" i="1" l="1"/>
  <c r="S203" i="1" s="1"/>
  <c r="T203" i="1" s="1"/>
  <c r="U203" i="1" s="1"/>
  <c r="R204" i="1"/>
  <c r="S204" i="1" s="1"/>
  <c r="R216" i="1"/>
  <c r="S216" i="1" s="1"/>
  <c r="R217" i="1"/>
  <c r="S217" i="1" s="1"/>
  <c r="R215" i="1"/>
  <c r="S215" i="1" s="1"/>
  <c r="R89" i="1"/>
  <c r="S89" i="1" s="1"/>
  <c r="T89" i="1" s="1"/>
  <c r="U89" i="1" s="1"/>
  <c r="R207" i="1"/>
  <c r="S207" i="1" s="1"/>
  <c r="R90" i="1"/>
  <c r="S90" i="1" s="1"/>
  <c r="R210" i="1"/>
  <c r="S210" i="1" s="1"/>
  <c r="T209" i="1" s="1"/>
  <c r="U209" i="1" s="1"/>
  <c r="R212" i="1"/>
  <c r="S212" i="1" s="1"/>
  <c r="R211" i="1"/>
  <c r="S211" i="1" s="1"/>
  <c r="T212" i="1"/>
  <c r="U212" i="1" s="1"/>
  <c r="T206" i="1"/>
  <c r="U206" i="1" s="1"/>
  <c r="R213" i="1"/>
  <c r="S213" i="1" s="1"/>
  <c r="R95" i="1"/>
  <c r="S95" i="1" s="1"/>
  <c r="T95" i="1" s="1"/>
  <c r="U95" i="1" s="1"/>
  <c r="R94" i="1"/>
  <c r="S94" i="1" s="1"/>
  <c r="R206" i="1"/>
  <c r="S206" i="1" s="1"/>
  <c r="R208" i="1"/>
  <c r="S208" i="1" s="1"/>
  <c r="R202" i="1"/>
  <c r="S202" i="1" s="1"/>
  <c r="R92" i="1"/>
  <c r="S92" i="1" s="1"/>
  <c r="R200" i="1"/>
  <c r="S200" i="1" s="1"/>
  <c r="R201" i="1"/>
  <c r="S201" i="1" s="1"/>
  <c r="T200" i="1"/>
  <c r="U200" i="1" s="1"/>
  <c r="R97" i="1"/>
  <c r="S97" i="1" s="1"/>
  <c r="R93" i="1"/>
  <c r="S93" i="1" s="1"/>
  <c r="T248" i="1"/>
  <c r="U248" i="1" s="1"/>
  <c r="T92" i="1" l="1"/>
  <c r="U92" i="1" s="1"/>
  <c r="K190" i="1"/>
  <c r="L190" i="1" s="1"/>
  <c r="K189" i="1"/>
  <c r="L189" i="1" s="1"/>
  <c r="K188" i="1"/>
  <c r="L188" i="1" s="1"/>
  <c r="I94" i="3"/>
  <c r="J94" i="3" s="1"/>
  <c r="I93" i="3"/>
  <c r="J93" i="3" s="1"/>
  <c r="I92" i="3"/>
  <c r="J92" i="3" s="1"/>
  <c r="J61" i="3"/>
  <c r="J60" i="3"/>
  <c r="J59" i="3"/>
  <c r="J58" i="3"/>
  <c r="J57" i="3"/>
  <c r="J56" i="3"/>
  <c r="J55" i="3"/>
  <c r="J54" i="3"/>
  <c r="J53" i="3"/>
  <c r="K49" i="1"/>
  <c r="L49" i="1" s="1"/>
  <c r="K48" i="1"/>
  <c r="L48" i="1" s="1"/>
  <c r="K47" i="1"/>
  <c r="L47" i="1" s="1"/>
  <c r="K46" i="1"/>
  <c r="L46" i="1" s="1"/>
  <c r="K45" i="1"/>
  <c r="L45" i="1" s="1"/>
  <c r="K44" i="1"/>
  <c r="L44" i="1" s="1"/>
  <c r="K34" i="1"/>
  <c r="L34" i="1" s="1"/>
  <c r="K33" i="1"/>
  <c r="L33" i="1" s="1"/>
  <c r="K32" i="1"/>
  <c r="L32" i="1" s="1"/>
  <c r="K31" i="1"/>
  <c r="L31" i="1" s="1"/>
  <c r="K30" i="1"/>
  <c r="L30" i="1" s="1"/>
  <c r="K29" i="1"/>
  <c r="L29" i="1" s="1"/>
  <c r="K83" i="3" l="1"/>
  <c r="K44" i="3"/>
  <c r="M188" i="1"/>
  <c r="N188" i="1"/>
  <c r="L56" i="3"/>
  <c r="K71" i="3"/>
  <c r="K77" i="3"/>
  <c r="K86" i="3"/>
  <c r="L86" i="3"/>
  <c r="K56" i="3"/>
  <c r="L59" i="3"/>
  <c r="L65" i="3"/>
  <c r="L77" i="3"/>
  <c r="K65" i="3"/>
  <c r="L53" i="3"/>
  <c r="K53" i="3"/>
  <c r="K62" i="3"/>
  <c r="L62" i="3"/>
  <c r="K68" i="3"/>
  <c r="L68" i="3"/>
  <c r="K74" i="3"/>
  <c r="L74" i="3"/>
  <c r="K80" i="3"/>
  <c r="L80" i="3"/>
  <c r="K59" i="3"/>
  <c r="K89" i="3"/>
  <c r="L89" i="3"/>
  <c r="L71" i="3"/>
  <c r="L83" i="3"/>
  <c r="L92" i="3"/>
  <c r="K92" i="3"/>
  <c r="M29" i="1"/>
  <c r="M47" i="1"/>
  <c r="N47" i="1"/>
  <c r="M44" i="1"/>
  <c r="N44" i="1"/>
  <c r="N29" i="1"/>
  <c r="M32" i="1"/>
  <c r="N32" i="1"/>
  <c r="L23" i="3" l="1"/>
  <c r="L50" i="3"/>
  <c r="M83" i="3"/>
  <c r="O84" i="3" s="1"/>
  <c r="L44" i="3"/>
  <c r="M44" i="3" s="1"/>
  <c r="K50" i="3"/>
  <c r="L38" i="3"/>
  <c r="K41" i="3"/>
  <c r="K23" i="3"/>
  <c r="L20" i="3"/>
  <c r="L29" i="3"/>
  <c r="K35" i="3"/>
  <c r="L14" i="3"/>
  <c r="L35" i="3"/>
  <c r="K14" i="3"/>
  <c r="K29" i="3"/>
  <c r="M56" i="3"/>
  <c r="O57" i="3" s="1"/>
  <c r="K11" i="3"/>
  <c r="K20" i="3"/>
  <c r="L11" i="3"/>
  <c r="O188" i="1"/>
  <c r="M59" i="3"/>
  <c r="N60" i="3" s="1"/>
  <c r="M86" i="3"/>
  <c r="M65" i="3"/>
  <c r="M77" i="3"/>
  <c r="M92" i="3"/>
  <c r="N93" i="3" s="1"/>
  <c r="M71" i="3"/>
  <c r="N72" i="3" s="1"/>
  <c r="M62" i="3"/>
  <c r="M74" i="3"/>
  <c r="M89" i="3"/>
  <c r="M80" i="3"/>
  <c r="M68" i="3"/>
  <c r="M53" i="3"/>
  <c r="O29" i="1"/>
  <c r="O47" i="1"/>
  <c r="O44" i="1"/>
  <c r="O32" i="1"/>
  <c r="M23" i="3" l="1"/>
  <c r="O24" i="3" s="1"/>
  <c r="K32" i="3"/>
  <c r="M50" i="3"/>
  <c r="N51" i="3" s="1"/>
  <c r="Q30" i="1"/>
  <c r="P30" i="1"/>
  <c r="T29" i="1" s="1"/>
  <c r="U29" i="1" s="1"/>
  <c r="N84" i="3"/>
  <c r="P83" i="3" s="1"/>
  <c r="Q83" i="3" s="1"/>
  <c r="N57" i="3"/>
  <c r="P56" i="3" s="1"/>
  <c r="Q56" i="3" s="1"/>
  <c r="M20" i="3"/>
  <c r="L41" i="3"/>
  <c r="M41" i="3" s="1"/>
  <c r="O42" i="3" s="1"/>
  <c r="K38" i="3"/>
  <c r="M38" i="3" s="1"/>
  <c r="M35" i="3"/>
  <c r="O36" i="3" s="1"/>
  <c r="L32" i="3"/>
  <c r="L26" i="3"/>
  <c r="K17" i="3"/>
  <c r="M11" i="3"/>
  <c r="L17" i="3"/>
  <c r="K47" i="3"/>
  <c r="M29" i="3"/>
  <c r="L47" i="3"/>
  <c r="K26" i="3"/>
  <c r="M14" i="3"/>
  <c r="N45" i="3"/>
  <c r="N24" i="3"/>
  <c r="O45" i="3"/>
  <c r="Q189" i="1"/>
  <c r="P189" i="1"/>
  <c r="O60" i="3"/>
  <c r="P61" i="3" s="1"/>
  <c r="Q61" i="3" s="1"/>
  <c r="O93" i="3"/>
  <c r="R92" i="3" s="1"/>
  <c r="S92" i="3" s="1"/>
  <c r="O78" i="3"/>
  <c r="N78" i="3"/>
  <c r="O72" i="3"/>
  <c r="P71" i="3" s="1"/>
  <c r="Q71" i="3" s="1"/>
  <c r="O66" i="3"/>
  <c r="N66" i="3"/>
  <c r="N87" i="3"/>
  <c r="O87" i="3"/>
  <c r="O54" i="3"/>
  <c r="N54" i="3"/>
  <c r="O90" i="3"/>
  <c r="N90" i="3"/>
  <c r="O69" i="3"/>
  <c r="N69" i="3"/>
  <c r="O63" i="3"/>
  <c r="N63" i="3"/>
  <c r="O81" i="3"/>
  <c r="N81" i="3"/>
  <c r="O75" i="3"/>
  <c r="N75" i="3"/>
  <c r="Q48" i="1"/>
  <c r="P48" i="1"/>
  <c r="R46" i="1"/>
  <c r="S46" i="1" s="1"/>
  <c r="R45" i="1"/>
  <c r="S45" i="1" s="1"/>
  <c r="R44" i="1"/>
  <c r="S44" i="1" s="1"/>
  <c r="Q45" i="1"/>
  <c r="P45" i="1"/>
  <c r="Q33" i="1"/>
  <c r="P33" i="1"/>
  <c r="R32" i="1" s="1"/>
  <c r="S32" i="1" s="1"/>
  <c r="O51" i="3" l="1"/>
  <c r="N12" i="3"/>
  <c r="P62" i="3"/>
  <c r="Q62" i="3" s="1"/>
  <c r="R62" i="3" s="1"/>
  <c r="S62" i="3" s="1"/>
  <c r="M32" i="3"/>
  <c r="R77" i="3"/>
  <c r="S77" i="3" s="1"/>
  <c r="P91" i="3"/>
  <c r="Q91" i="3" s="1"/>
  <c r="P84" i="3"/>
  <c r="Q84" i="3" s="1"/>
  <c r="R83" i="3"/>
  <c r="S83" i="3" s="1"/>
  <c r="P85" i="3"/>
  <c r="Q85" i="3" s="1"/>
  <c r="P58" i="3"/>
  <c r="Q58" i="3" s="1"/>
  <c r="P64" i="3"/>
  <c r="Q64" i="3" s="1"/>
  <c r="P90" i="3"/>
  <c r="Q90" i="3" s="1"/>
  <c r="O39" i="3"/>
  <c r="P63" i="3"/>
  <c r="Q63" i="3" s="1"/>
  <c r="P92" i="3"/>
  <c r="Q92" i="3" s="1"/>
  <c r="N21" i="3"/>
  <c r="N42" i="3"/>
  <c r="P41" i="3" s="1"/>
  <c r="Q41" i="3" s="1"/>
  <c r="P57" i="3"/>
  <c r="Q57" i="3" s="1"/>
  <c r="P68" i="3"/>
  <c r="Q68" i="3" s="1"/>
  <c r="P89" i="3"/>
  <c r="Q89" i="3" s="1"/>
  <c r="R89" i="3" s="1"/>
  <c r="S89" i="3" s="1"/>
  <c r="N39" i="3"/>
  <c r="P67" i="3"/>
  <c r="Q67" i="3" s="1"/>
  <c r="O21" i="3"/>
  <c r="N36" i="3"/>
  <c r="P35" i="3" s="1"/>
  <c r="Q35" i="3" s="1"/>
  <c r="P93" i="3"/>
  <c r="Q93" i="3" s="1"/>
  <c r="R80" i="3"/>
  <c r="S80" i="3" s="1"/>
  <c r="P66" i="3"/>
  <c r="Q66" i="3" s="1"/>
  <c r="P94" i="3"/>
  <c r="Q94" i="3" s="1"/>
  <c r="P70" i="3"/>
  <c r="Q70" i="3" s="1"/>
  <c r="P80" i="3"/>
  <c r="Q80" i="3" s="1"/>
  <c r="P73" i="3"/>
  <c r="Q73" i="3" s="1"/>
  <c r="P72" i="3"/>
  <c r="Q72" i="3" s="1"/>
  <c r="R71" i="3" s="1"/>
  <c r="S71" i="3" s="1"/>
  <c r="P69" i="3"/>
  <c r="Q69" i="3" s="1"/>
  <c r="P65" i="3"/>
  <c r="Q65" i="3" s="1"/>
  <c r="R65" i="3" s="1"/>
  <c r="S65" i="3" s="1"/>
  <c r="O12" i="3"/>
  <c r="P11" i="3" s="1"/>
  <c r="Q11" i="3" s="1"/>
  <c r="M26" i="3"/>
  <c r="N27" i="3" s="1"/>
  <c r="N30" i="3"/>
  <c r="O30" i="3"/>
  <c r="M47" i="3"/>
  <c r="N15" i="3"/>
  <c r="M17" i="3"/>
  <c r="O15" i="3"/>
  <c r="R44" i="3"/>
  <c r="S44" i="3" s="1"/>
  <c r="P44" i="3"/>
  <c r="Q44" i="3" s="1"/>
  <c r="P25" i="3"/>
  <c r="Q25" i="3" s="1"/>
  <c r="P13" i="3"/>
  <c r="Q13" i="3" s="1"/>
  <c r="P46" i="3"/>
  <c r="Q46" i="3" s="1"/>
  <c r="P45" i="3"/>
  <c r="Q45" i="3" s="1"/>
  <c r="P59" i="3"/>
  <c r="Q59" i="3" s="1"/>
  <c r="R59" i="3" s="1"/>
  <c r="S59" i="3" s="1"/>
  <c r="R189" i="1"/>
  <c r="S189" i="1" s="1"/>
  <c r="R188" i="1"/>
  <c r="S188" i="1" s="1"/>
  <c r="R190" i="1"/>
  <c r="S190" i="1" s="1"/>
  <c r="T188" i="1"/>
  <c r="U188" i="1" s="1"/>
  <c r="R48" i="1"/>
  <c r="S48" i="1" s="1"/>
  <c r="R47" i="1"/>
  <c r="S47" i="1" s="1"/>
  <c r="T47" i="1"/>
  <c r="U47" i="1" s="1"/>
  <c r="R49" i="1"/>
  <c r="S49" i="1" s="1"/>
  <c r="P50" i="3"/>
  <c r="Q50" i="3" s="1"/>
  <c r="R50" i="3" s="1"/>
  <c r="S50" i="3" s="1"/>
  <c r="P23" i="3"/>
  <c r="Q23" i="3" s="1"/>
  <c r="P60" i="3"/>
  <c r="Q60" i="3" s="1"/>
  <c r="P24" i="3"/>
  <c r="Q24" i="3" s="1"/>
  <c r="P55" i="3"/>
  <c r="Q55" i="3" s="1"/>
  <c r="P51" i="3"/>
  <c r="Q51" i="3" s="1"/>
  <c r="P52" i="3"/>
  <c r="Q52" i="3" s="1"/>
  <c r="P78" i="3"/>
  <c r="Q78" i="3" s="1"/>
  <c r="P77" i="3"/>
  <c r="Q77" i="3" s="1"/>
  <c r="P79" i="3"/>
  <c r="Q79" i="3" s="1"/>
  <c r="R74" i="3"/>
  <c r="S74" i="3" s="1"/>
  <c r="P82" i="3"/>
  <c r="Q82" i="3" s="1"/>
  <c r="R68" i="3"/>
  <c r="S68" i="3" s="1"/>
  <c r="P86" i="3"/>
  <c r="Q86" i="3" s="1"/>
  <c r="P88" i="3"/>
  <c r="Q88" i="3" s="1"/>
  <c r="P87" i="3"/>
  <c r="Q87" i="3" s="1"/>
  <c r="R86" i="3"/>
  <c r="S86" i="3" s="1"/>
  <c r="P74" i="3"/>
  <c r="Q74" i="3" s="1"/>
  <c r="P54" i="3"/>
  <c r="Q54" i="3" s="1"/>
  <c r="P76" i="3"/>
  <c r="Q76" i="3" s="1"/>
  <c r="P53" i="3"/>
  <c r="Q53" i="3" s="1"/>
  <c r="P75" i="3"/>
  <c r="Q75" i="3" s="1"/>
  <c r="P81" i="3"/>
  <c r="Q81" i="3" s="1"/>
  <c r="T44" i="1"/>
  <c r="U44" i="1" s="1"/>
  <c r="R33" i="1"/>
  <c r="S33" i="1" s="1"/>
  <c r="R34" i="1"/>
  <c r="S34" i="1" s="1"/>
  <c r="R30" i="1"/>
  <c r="S30" i="1" s="1"/>
  <c r="R29" i="1"/>
  <c r="S29" i="1" s="1"/>
  <c r="R31" i="1"/>
  <c r="S31" i="1" s="1"/>
  <c r="P16" i="3" l="1"/>
  <c r="Q16" i="3" s="1"/>
  <c r="P14" i="3"/>
  <c r="Q14" i="3" s="1"/>
  <c r="P15" i="3"/>
  <c r="Q15" i="3" s="1"/>
  <c r="R56" i="3"/>
  <c r="S56" i="3" s="1"/>
  <c r="P29" i="3"/>
  <c r="Q29" i="3" s="1"/>
  <c r="P38" i="3"/>
  <c r="Q38" i="3" s="1"/>
  <c r="O33" i="3"/>
  <c r="N33" i="3"/>
  <c r="P31" i="3"/>
  <c r="Q31" i="3" s="1"/>
  <c r="P30" i="3"/>
  <c r="Q30" i="3" s="1"/>
  <c r="P39" i="3"/>
  <c r="Q39" i="3" s="1"/>
  <c r="P40" i="3"/>
  <c r="Q40" i="3" s="1"/>
  <c r="P12" i="3"/>
  <c r="Q12" i="3" s="1"/>
  <c r="R11" i="3" s="1"/>
  <c r="S11" i="3" s="1"/>
  <c r="R53" i="3"/>
  <c r="S53" i="3" s="1"/>
  <c r="P42" i="3"/>
  <c r="Q42" i="3" s="1"/>
  <c r="P43" i="3"/>
  <c r="Q43" i="3" s="1"/>
  <c r="P37" i="3"/>
  <c r="Q37" i="3" s="1"/>
  <c r="R20" i="3"/>
  <c r="S20" i="3" s="1"/>
  <c r="P22" i="3"/>
  <c r="Q22" i="3" s="1"/>
  <c r="P20" i="3"/>
  <c r="Q20" i="3" s="1"/>
  <c r="P36" i="3"/>
  <c r="Q36" i="3" s="1"/>
  <c r="R35" i="3"/>
  <c r="S35" i="3" s="1"/>
  <c r="P21" i="3"/>
  <c r="Q21" i="3" s="1"/>
  <c r="O27" i="3"/>
  <c r="P28" i="3" s="1"/>
  <c r="Q28" i="3" s="1"/>
  <c r="R23" i="3"/>
  <c r="S23" i="3" s="1"/>
  <c r="N18" i="3"/>
  <c r="O18" i="3"/>
  <c r="N48" i="3"/>
  <c r="O48" i="3"/>
  <c r="R14" i="3"/>
  <c r="S14" i="3" s="1"/>
  <c r="R29" i="3"/>
  <c r="S29" i="3" s="1"/>
  <c r="T32" i="1"/>
  <c r="U32" i="1" s="1"/>
  <c r="K181" i="1"/>
  <c r="L181" i="1" s="1"/>
  <c r="K180" i="1"/>
  <c r="L180" i="1" s="1"/>
  <c r="K179" i="1"/>
  <c r="L179" i="1" s="1"/>
  <c r="K220" i="1"/>
  <c r="L220" i="1" s="1"/>
  <c r="K219" i="1"/>
  <c r="L219" i="1" s="1"/>
  <c r="K218" i="1"/>
  <c r="L218" i="1" s="1"/>
  <c r="K193" i="1"/>
  <c r="L193" i="1" s="1"/>
  <c r="K192" i="1"/>
  <c r="L192" i="1" s="1"/>
  <c r="K191" i="1"/>
  <c r="L191" i="1" s="1"/>
  <c r="P34" i="3" l="1"/>
  <c r="Q34" i="3" s="1"/>
  <c r="P32" i="3"/>
  <c r="Q32" i="3" s="1"/>
  <c r="R32" i="3" s="1"/>
  <c r="S32" i="3" s="1"/>
  <c r="R38" i="3"/>
  <c r="S38" i="3" s="1"/>
  <c r="P33" i="3"/>
  <c r="Q33" i="3" s="1"/>
  <c r="P26" i="3"/>
  <c r="Q26" i="3" s="1"/>
  <c r="P27" i="3"/>
  <c r="Q27" i="3" s="1"/>
  <c r="R41" i="3"/>
  <c r="S41" i="3" s="1"/>
  <c r="P18" i="3"/>
  <c r="Q18" i="3" s="1"/>
  <c r="R17" i="3" s="1"/>
  <c r="S17" i="3" s="1"/>
  <c r="P47" i="3"/>
  <c r="Q47" i="3" s="1"/>
  <c r="P17" i="3"/>
  <c r="Q17" i="3" s="1"/>
  <c r="P19" i="3"/>
  <c r="Q19" i="3" s="1"/>
  <c r="P48" i="3"/>
  <c r="Q48" i="3" s="1"/>
  <c r="P49" i="3"/>
  <c r="Q49" i="3" s="1"/>
  <c r="M179" i="1"/>
  <c r="N179" i="1"/>
  <c r="M218" i="1"/>
  <c r="N218" i="1"/>
  <c r="M191" i="1"/>
  <c r="N191" i="1"/>
  <c r="K280" i="1"/>
  <c r="L280" i="1" s="1"/>
  <c r="K279" i="1"/>
  <c r="L279" i="1" s="1"/>
  <c r="K278" i="1"/>
  <c r="L278" i="1" s="1"/>
  <c r="K277" i="1"/>
  <c r="L277" i="1" s="1"/>
  <c r="K276" i="1"/>
  <c r="L276" i="1" s="1"/>
  <c r="K275" i="1"/>
  <c r="L275" i="1" s="1"/>
  <c r="K148" i="1"/>
  <c r="L148" i="1" s="1"/>
  <c r="K147" i="1"/>
  <c r="L147" i="1" s="1"/>
  <c r="K146" i="1"/>
  <c r="L146" i="1" s="1"/>
  <c r="K196" i="1"/>
  <c r="L196" i="1" s="1"/>
  <c r="K195" i="1"/>
  <c r="L195" i="1" s="1"/>
  <c r="K194" i="1"/>
  <c r="L194" i="1" s="1"/>
  <c r="K163" i="1"/>
  <c r="L163" i="1" s="1"/>
  <c r="K162" i="1"/>
  <c r="L162" i="1" s="1"/>
  <c r="K161" i="1"/>
  <c r="L161" i="1" s="1"/>
  <c r="L247" i="1"/>
  <c r="L246" i="1"/>
  <c r="L245" i="1"/>
  <c r="L244" i="1"/>
  <c r="L243" i="1"/>
  <c r="L242" i="1"/>
  <c r="K241" i="1"/>
  <c r="L241" i="1" s="1"/>
  <c r="K240" i="1"/>
  <c r="L240" i="1" s="1"/>
  <c r="K239" i="1"/>
  <c r="L239" i="1" s="1"/>
  <c r="K52" i="1"/>
  <c r="L52" i="1" s="1"/>
  <c r="K51" i="1"/>
  <c r="L51" i="1" s="1"/>
  <c r="K50" i="1"/>
  <c r="L50" i="1" s="1"/>
  <c r="R26" i="3" l="1"/>
  <c r="S26" i="3" s="1"/>
  <c r="R47" i="3"/>
  <c r="S47" i="3" s="1"/>
  <c r="M161" i="1"/>
  <c r="O179" i="1"/>
  <c r="O218" i="1"/>
  <c r="O191" i="1"/>
  <c r="M146" i="1"/>
  <c r="M275" i="1"/>
  <c r="N275" i="1"/>
  <c r="M278" i="1"/>
  <c r="N278" i="1"/>
  <c r="N146" i="1"/>
  <c r="M194" i="1"/>
  <c r="N194" i="1"/>
  <c r="N161" i="1"/>
  <c r="M245" i="1"/>
  <c r="N245" i="1"/>
  <c r="M242" i="1"/>
  <c r="N242" i="1"/>
  <c r="N239" i="1"/>
  <c r="M239" i="1"/>
  <c r="M50" i="1"/>
  <c r="N50" i="1"/>
  <c r="K115" i="1"/>
  <c r="L115" i="1" s="1"/>
  <c r="K114" i="1"/>
  <c r="L114" i="1" s="1"/>
  <c r="K113" i="1"/>
  <c r="L113" i="1" s="1"/>
  <c r="M113" i="1" l="1"/>
  <c r="N113" i="1"/>
  <c r="O161" i="1"/>
  <c r="P162" i="1" s="1"/>
  <c r="O146" i="1"/>
  <c r="R148" i="1" s="1"/>
  <c r="S148" i="1" s="1"/>
  <c r="O275" i="1"/>
  <c r="P276" i="1" s="1"/>
  <c r="Q180" i="1"/>
  <c r="P180" i="1"/>
  <c r="R180" i="1" s="1"/>
  <c r="S180" i="1" s="1"/>
  <c r="Q219" i="1"/>
  <c r="P219" i="1"/>
  <c r="Q192" i="1"/>
  <c r="P192" i="1"/>
  <c r="R191" i="1" s="1"/>
  <c r="S191" i="1" s="1"/>
  <c r="O278" i="1"/>
  <c r="O194" i="1"/>
  <c r="O245" i="1"/>
  <c r="O242" i="1"/>
  <c r="O239" i="1"/>
  <c r="P240" i="1" s="1"/>
  <c r="O50" i="1"/>
  <c r="T191" i="1" l="1"/>
  <c r="R218" i="1"/>
  <c r="S218" i="1" s="1"/>
  <c r="R220" i="1"/>
  <c r="S220" i="1" s="1"/>
  <c r="R219" i="1"/>
  <c r="S219" i="1" s="1"/>
  <c r="R192" i="1"/>
  <c r="S192" i="1" s="1"/>
  <c r="R193" i="1"/>
  <c r="S193" i="1" s="1"/>
  <c r="U191" i="1"/>
  <c r="O113" i="1"/>
  <c r="Q162" i="1"/>
  <c r="R163" i="1" s="1"/>
  <c r="S163" i="1" s="1"/>
  <c r="P147" i="1"/>
  <c r="R146" i="1"/>
  <c r="S146" i="1" s="1"/>
  <c r="R147" i="1"/>
  <c r="S147" i="1" s="1"/>
  <c r="Q147" i="1"/>
  <c r="Q276" i="1"/>
  <c r="R276" i="1" s="1"/>
  <c r="S276" i="1" s="1"/>
  <c r="R181" i="1"/>
  <c r="S181" i="1" s="1"/>
  <c r="R179" i="1"/>
  <c r="S179" i="1" s="1"/>
  <c r="Q279" i="1"/>
  <c r="P279" i="1"/>
  <c r="R279" i="1" s="1"/>
  <c r="S279" i="1" s="1"/>
  <c r="P195" i="1"/>
  <c r="Q195" i="1"/>
  <c r="R162" i="1"/>
  <c r="S162" i="1" s="1"/>
  <c r="P246" i="1"/>
  <c r="Q246" i="1"/>
  <c r="Q243" i="1"/>
  <c r="P243" i="1"/>
  <c r="R242" i="1" s="1"/>
  <c r="S242" i="1" s="1"/>
  <c r="Q240" i="1"/>
  <c r="R240" i="1" s="1"/>
  <c r="S240" i="1" s="1"/>
  <c r="P51" i="1"/>
  <c r="Q51" i="1"/>
  <c r="R52" i="1" s="1"/>
  <c r="S52" i="1" s="1"/>
  <c r="K79" i="1"/>
  <c r="R161" i="1" l="1"/>
  <c r="S161" i="1" s="1"/>
  <c r="T218" i="1"/>
  <c r="U218" i="1" s="1"/>
  <c r="R241" i="1"/>
  <c r="S241" i="1" s="1"/>
  <c r="Q114" i="1"/>
  <c r="P114" i="1"/>
  <c r="R115" i="1"/>
  <c r="S115" i="1" s="1"/>
  <c r="R114" i="1"/>
  <c r="S114" i="1" s="1"/>
  <c r="R113" i="1"/>
  <c r="S113" i="1" s="1"/>
  <c r="T146" i="1"/>
  <c r="U146" i="1" s="1"/>
  <c r="R275" i="1"/>
  <c r="S275" i="1" s="1"/>
  <c r="R277" i="1"/>
  <c r="S277" i="1" s="1"/>
  <c r="T179" i="1"/>
  <c r="U179" i="1" s="1"/>
  <c r="T161" i="1"/>
  <c r="U161" i="1" s="1"/>
  <c r="R278" i="1"/>
  <c r="S278" i="1" s="1"/>
  <c r="R280" i="1"/>
  <c r="S280" i="1" s="1"/>
  <c r="R196" i="1"/>
  <c r="S196" i="1" s="1"/>
  <c r="R194" i="1"/>
  <c r="S194" i="1" s="1"/>
  <c r="R195" i="1"/>
  <c r="S195" i="1" s="1"/>
  <c r="R247" i="1"/>
  <c r="S247" i="1" s="1"/>
  <c r="R245" i="1"/>
  <c r="S245" i="1" s="1"/>
  <c r="R246" i="1"/>
  <c r="S246" i="1" s="1"/>
  <c r="R243" i="1"/>
  <c r="S243" i="1" s="1"/>
  <c r="R244" i="1"/>
  <c r="S244" i="1" s="1"/>
  <c r="R239" i="1"/>
  <c r="S239" i="1" s="1"/>
  <c r="R51" i="1"/>
  <c r="S51" i="1" s="1"/>
  <c r="R50" i="1"/>
  <c r="S50" i="1" s="1"/>
  <c r="T275" i="1" l="1"/>
  <c r="U275" i="1" s="1"/>
  <c r="T194" i="1"/>
  <c r="U194" i="1" s="1"/>
  <c r="T239" i="1"/>
  <c r="U239" i="1" s="1"/>
  <c r="T113" i="1"/>
  <c r="U113" i="1" s="1"/>
  <c r="T278" i="1"/>
  <c r="U278" i="1" s="1"/>
  <c r="T50" i="1"/>
  <c r="U50" i="1" s="1"/>
  <c r="T245" i="1"/>
  <c r="U245" i="1" s="1"/>
  <c r="T242" i="1"/>
  <c r="U242" i="1" s="1"/>
  <c r="K160" i="1"/>
  <c r="L160" i="1" s="1"/>
  <c r="K159" i="1"/>
  <c r="L159" i="1" s="1"/>
  <c r="K158" i="1"/>
  <c r="L158" i="1" s="1"/>
  <c r="K157" i="1"/>
  <c r="L157" i="1" s="1"/>
  <c r="K156" i="1"/>
  <c r="L156" i="1" s="1"/>
  <c r="K155" i="1"/>
  <c r="L155" i="1" s="1"/>
  <c r="K154" i="1"/>
  <c r="L154" i="1" s="1"/>
  <c r="K153" i="1"/>
  <c r="L153" i="1" s="1"/>
  <c r="K152" i="1"/>
  <c r="L152" i="1" s="1"/>
  <c r="K151" i="1"/>
  <c r="L151" i="1" s="1"/>
  <c r="K150" i="1"/>
  <c r="L150" i="1" s="1"/>
  <c r="K149" i="1"/>
  <c r="L149" i="1" s="1"/>
  <c r="K142" i="1"/>
  <c r="L142" i="1" s="1"/>
  <c r="K141" i="1"/>
  <c r="L141" i="1" s="1"/>
  <c r="K140" i="1"/>
  <c r="L140" i="1" s="1"/>
  <c r="K130" i="1"/>
  <c r="L130" i="1" s="1"/>
  <c r="K129" i="1"/>
  <c r="L129" i="1" s="1"/>
  <c r="K128" i="1"/>
  <c r="L128" i="1" s="1"/>
  <c r="L109" i="1"/>
  <c r="L108" i="1"/>
  <c r="L107" i="1"/>
  <c r="K106" i="1"/>
  <c r="L106" i="1" s="1"/>
  <c r="K105" i="1"/>
  <c r="L105" i="1" s="1"/>
  <c r="K104" i="1"/>
  <c r="L104" i="1" s="1"/>
  <c r="K22" i="1"/>
  <c r="L22" i="1" s="1"/>
  <c r="K21" i="1"/>
  <c r="L21" i="1" s="1"/>
  <c r="K20" i="1"/>
  <c r="L20" i="1" s="1"/>
  <c r="K19" i="1"/>
  <c r="L19" i="1" s="1"/>
  <c r="K18" i="1"/>
  <c r="L18" i="1" s="1"/>
  <c r="K17" i="1"/>
  <c r="L17" i="1" s="1"/>
  <c r="K88" i="1"/>
  <c r="L88" i="1" s="1"/>
  <c r="K87" i="1"/>
  <c r="L87" i="1" s="1"/>
  <c r="K86" i="1"/>
  <c r="L86" i="1" s="1"/>
  <c r="K85" i="1"/>
  <c r="L85" i="1" s="1"/>
  <c r="K84" i="1"/>
  <c r="L84" i="1" s="1"/>
  <c r="K83" i="1"/>
  <c r="L83" i="1" s="1"/>
  <c r="K82" i="1"/>
  <c r="L82" i="1" s="1"/>
  <c r="K81" i="1"/>
  <c r="L81" i="1" s="1"/>
  <c r="K80" i="1"/>
  <c r="L80" i="1" s="1"/>
  <c r="L79" i="1"/>
  <c r="K78" i="1"/>
  <c r="L78" i="1" s="1"/>
  <c r="K77" i="1"/>
  <c r="L77" i="1" s="1"/>
  <c r="K76" i="1"/>
  <c r="L76" i="1" s="1"/>
  <c r="K75" i="1"/>
  <c r="L75" i="1" s="1"/>
  <c r="K74" i="1"/>
  <c r="L74" i="1" s="1"/>
  <c r="K73" i="1"/>
  <c r="L73" i="1" s="1"/>
  <c r="K72" i="1"/>
  <c r="L72" i="1" s="1"/>
  <c r="K71" i="1"/>
  <c r="L71" i="1" s="1"/>
  <c r="K70" i="1"/>
  <c r="L70" i="1" s="1"/>
  <c r="K68" i="1"/>
  <c r="L68" i="1" s="1"/>
  <c r="K67" i="1"/>
  <c r="L67" i="1" s="1"/>
  <c r="K66" i="1"/>
  <c r="L66" i="1" s="1"/>
  <c r="K65" i="1"/>
  <c r="L65" i="1" s="1"/>
  <c r="K64" i="1"/>
  <c r="L64" i="1" s="1"/>
  <c r="K63" i="1"/>
  <c r="L63" i="1" s="1"/>
  <c r="K62" i="1"/>
  <c r="L62" i="1" s="1"/>
  <c r="K10" i="1"/>
  <c r="L10" i="1" s="1"/>
  <c r="K9" i="1"/>
  <c r="L9" i="1" s="1"/>
  <c r="M8" i="1" l="1"/>
  <c r="N8" i="1"/>
  <c r="M20" i="1"/>
  <c r="N149" i="1"/>
  <c r="M152" i="1"/>
  <c r="N128" i="1"/>
  <c r="N20" i="1"/>
  <c r="N152" i="1"/>
  <c r="M17" i="1"/>
  <c r="N86" i="1"/>
  <c r="M83" i="1"/>
  <c r="N74" i="1"/>
  <c r="M71" i="1"/>
  <c r="M62" i="1"/>
  <c r="N77" i="1"/>
  <c r="M77" i="1"/>
  <c r="N80" i="1"/>
  <c r="M80" i="1"/>
  <c r="N62" i="1"/>
  <c r="N65" i="1"/>
  <c r="M65" i="1"/>
  <c r="N68" i="1"/>
  <c r="M68" i="1"/>
  <c r="N71" i="1"/>
  <c r="M74" i="1"/>
  <c r="N83" i="1"/>
  <c r="M86" i="1"/>
  <c r="N17" i="1"/>
  <c r="N104" i="1"/>
  <c r="M104" i="1"/>
  <c r="N107" i="1"/>
  <c r="M107" i="1"/>
  <c r="N140" i="1"/>
  <c r="M128" i="1"/>
  <c r="M155" i="1"/>
  <c r="N155" i="1"/>
  <c r="N158" i="1"/>
  <c r="M158" i="1"/>
  <c r="M140" i="1"/>
  <c r="M149" i="1"/>
  <c r="O8" i="1" l="1"/>
  <c r="O5" i="1"/>
  <c r="O152" i="1"/>
  <c r="P153" i="1" s="1"/>
  <c r="O140" i="1"/>
  <c r="O128" i="1"/>
  <c r="P129" i="1" s="1"/>
  <c r="O149" i="1"/>
  <c r="Q150" i="1" s="1"/>
  <c r="O20" i="1"/>
  <c r="O17" i="1"/>
  <c r="P18" i="1" s="1"/>
  <c r="O107" i="1"/>
  <c r="Q108" i="1" s="1"/>
  <c r="O86" i="1"/>
  <c r="Q87" i="1" s="1"/>
  <c r="O83" i="1"/>
  <c r="P84" i="1" s="1"/>
  <c r="O80" i="1"/>
  <c r="O77" i="1"/>
  <c r="Q78" i="1" s="1"/>
  <c r="O74" i="1"/>
  <c r="P75" i="1" s="1"/>
  <c r="O71" i="1"/>
  <c r="O68" i="1"/>
  <c r="P69" i="1" s="1"/>
  <c r="O65" i="1"/>
  <c r="P66" i="1" s="1"/>
  <c r="O155" i="1"/>
  <c r="O158" i="1"/>
  <c r="O104" i="1"/>
  <c r="O62" i="1"/>
  <c r="Q21" i="1" l="1"/>
  <c r="P21" i="1"/>
  <c r="R7" i="1"/>
  <c r="S7" i="1" s="1"/>
  <c r="R6" i="1"/>
  <c r="S6" i="1" s="1"/>
  <c r="Q6" i="1"/>
  <c r="P6" i="1"/>
  <c r="R5" i="1"/>
  <c r="S5" i="1" s="1"/>
  <c r="R10" i="1"/>
  <c r="S10" i="1" s="1"/>
  <c r="R9" i="1"/>
  <c r="S9" i="1" s="1"/>
  <c r="Q9" i="1"/>
  <c r="P9" i="1"/>
  <c r="R8" i="1"/>
  <c r="S8" i="1" s="1"/>
  <c r="Q75" i="1"/>
  <c r="R76" i="1" s="1"/>
  <c r="S76" i="1" s="1"/>
  <c r="P87" i="1"/>
  <c r="T86" i="1" s="1"/>
  <c r="U86" i="1" s="1"/>
  <c r="R22" i="1"/>
  <c r="S22" i="1" s="1"/>
  <c r="P72" i="1"/>
  <c r="Q69" i="1"/>
  <c r="R70" i="1" s="1"/>
  <c r="S70" i="1" s="1"/>
  <c r="R154" i="1"/>
  <c r="S154" i="1" s="1"/>
  <c r="Q153" i="1"/>
  <c r="R153" i="1" s="1"/>
  <c r="S153" i="1" s="1"/>
  <c r="P141" i="1"/>
  <c r="Q141" i="1"/>
  <c r="Q129" i="1"/>
  <c r="R129" i="1" s="1"/>
  <c r="S129" i="1" s="1"/>
  <c r="P150" i="1"/>
  <c r="R150" i="1" s="1"/>
  <c r="S150" i="1" s="1"/>
  <c r="Q84" i="1"/>
  <c r="R84" i="1" s="1"/>
  <c r="S84" i="1" s="1"/>
  <c r="R21" i="1"/>
  <c r="S21" i="1" s="1"/>
  <c r="R20" i="1"/>
  <c r="S20" i="1" s="1"/>
  <c r="Q18" i="1"/>
  <c r="R17" i="1" s="1"/>
  <c r="S17" i="1" s="1"/>
  <c r="P108" i="1"/>
  <c r="Q66" i="1"/>
  <c r="T65" i="1" s="1"/>
  <c r="U65" i="1" s="1"/>
  <c r="P81" i="1"/>
  <c r="Q81" i="1"/>
  <c r="P78" i="1"/>
  <c r="R77" i="1" s="1"/>
  <c r="S77" i="1" s="1"/>
  <c r="Q72" i="1"/>
  <c r="P159" i="1"/>
  <c r="R159" i="1"/>
  <c r="S159" i="1" s="1"/>
  <c r="R158" i="1"/>
  <c r="S158" i="1" s="1"/>
  <c r="R160" i="1"/>
  <c r="S160" i="1" s="1"/>
  <c r="Q159" i="1"/>
  <c r="P156" i="1"/>
  <c r="R157" i="1" s="1"/>
  <c r="S157" i="1" s="1"/>
  <c r="Q156" i="1"/>
  <c r="Q105" i="1"/>
  <c r="P105" i="1"/>
  <c r="Q63" i="1"/>
  <c r="P63" i="1"/>
  <c r="T8" i="1" l="1"/>
  <c r="U8" i="1" s="1"/>
  <c r="T5" i="1"/>
  <c r="U5" i="1" s="1"/>
  <c r="R75" i="1"/>
  <c r="S75" i="1" s="1"/>
  <c r="R79" i="1"/>
  <c r="S79" i="1" s="1"/>
  <c r="R78" i="1"/>
  <c r="S78" i="1" s="1"/>
  <c r="R155" i="1"/>
  <c r="S155" i="1" s="1"/>
  <c r="R156" i="1"/>
  <c r="S156" i="1" s="1"/>
  <c r="R65" i="1"/>
  <c r="S65" i="1" s="1"/>
  <c r="R72" i="1"/>
  <c r="S72" i="1" s="1"/>
  <c r="R73" i="1"/>
  <c r="S73" i="1" s="1"/>
  <c r="R71" i="1"/>
  <c r="S71" i="1" s="1"/>
  <c r="R85" i="1"/>
  <c r="S85" i="1" s="1"/>
  <c r="R83" i="1"/>
  <c r="S83" i="1" s="1"/>
  <c r="R74" i="1"/>
  <c r="S74" i="1" s="1"/>
  <c r="R68" i="1"/>
  <c r="S68" i="1" s="1"/>
  <c r="U119" i="1"/>
  <c r="R88" i="1"/>
  <c r="S88" i="1" s="1"/>
  <c r="R87" i="1"/>
  <c r="S87" i="1" s="1"/>
  <c r="R86" i="1"/>
  <c r="S86" i="1" s="1"/>
  <c r="R69" i="1"/>
  <c r="S69" i="1" s="1"/>
  <c r="T68" i="1"/>
  <c r="U68" i="1" s="1"/>
  <c r="T71" i="1"/>
  <c r="U71" i="1" s="1"/>
  <c r="U122" i="1"/>
  <c r="T20" i="1"/>
  <c r="U20" i="1" s="1"/>
  <c r="R152" i="1"/>
  <c r="S152" i="1" s="1"/>
  <c r="T152" i="1" s="1"/>
  <c r="U152" i="1" s="1"/>
  <c r="R151" i="1"/>
  <c r="S151" i="1" s="1"/>
  <c r="R149" i="1"/>
  <c r="S149" i="1" s="1"/>
  <c r="R141" i="1"/>
  <c r="S141" i="1" s="1"/>
  <c r="R142" i="1"/>
  <c r="S142" i="1" s="1"/>
  <c r="R140" i="1"/>
  <c r="S140" i="1" s="1"/>
  <c r="T140" i="1"/>
  <c r="U140" i="1" s="1"/>
  <c r="R130" i="1"/>
  <c r="S130" i="1" s="1"/>
  <c r="R128" i="1"/>
  <c r="S128" i="1" s="1"/>
  <c r="U125" i="1"/>
  <c r="U116" i="1"/>
  <c r="R64" i="1"/>
  <c r="S64" i="1" s="1"/>
  <c r="R109" i="1"/>
  <c r="S109" i="1" s="1"/>
  <c r="R108" i="1"/>
  <c r="S108" i="1" s="1"/>
  <c r="R107" i="1"/>
  <c r="S107" i="1" s="1"/>
  <c r="T104" i="1"/>
  <c r="U104" i="1" s="1"/>
  <c r="R18" i="1"/>
  <c r="S18" i="1" s="1"/>
  <c r="R19" i="1"/>
  <c r="S19" i="1" s="1"/>
  <c r="R67" i="1"/>
  <c r="S67" i="1" s="1"/>
  <c r="R66" i="1"/>
  <c r="S66" i="1" s="1"/>
  <c r="R105" i="1"/>
  <c r="S105" i="1" s="1"/>
  <c r="T158" i="1"/>
  <c r="U158" i="1" s="1"/>
  <c r="R104" i="1"/>
  <c r="S104" i="1" s="1"/>
  <c r="T74" i="1"/>
  <c r="U74" i="1" s="1"/>
  <c r="R80" i="1"/>
  <c r="S80" i="1" s="1"/>
  <c r="R81" i="1"/>
  <c r="S81" i="1" s="1"/>
  <c r="R82" i="1"/>
  <c r="S82" i="1" s="1"/>
  <c r="R63" i="1"/>
  <c r="S63" i="1" s="1"/>
  <c r="R62" i="1"/>
  <c r="S62" i="1" s="1"/>
  <c r="T62" i="1"/>
  <c r="U62" i="1" s="1"/>
  <c r="R106" i="1"/>
  <c r="S106" i="1" s="1"/>
  <c r="T83" i="1" l="1"/>
  <c r="U83" i="1" s="1"/>
  <c r="T77" i="1"/>
  <c r="U77" i="1" s="1"/>
  <c r="T149" i="1"/>
  <c r="U149" i="1" s="1"/>
  <c r="T155" i="1"/>
  <c r="U155" i="1" s="1"/>
  <c r="T17" i="1"/>
  <c r="U17" i="1" s="1"/>
  <c r="T128" i="1"/>
  <c r="U128" i="1" s="1"/>
  <c r="T107" i="1"/>
  <c r="U107" i="1" s="1"/>
  <c r="T80" i="1"/>
  <c r="U80" i="1" s="1"/>
</calcChain>
</file>

<file path=xl/sharedStrings.xml><?xml version="1.0" encoding="utf-8"?>
<sst xmlns="http://schemas.openxmlformats.org/spreadsheetml/2006/main" count="1612" uniqueCount="911">
  <si>
    <t>MAPA DE COTAÇÃO DE PREÇOS - INTERNET</t>
  </si>
  <si>
    <t>CÓDIGO</t>
  </si>
  <si>
    <t>ESPECIFICAÇÃO DO ITEM</t>
  </si>
  <si>
    <t>QT.</t>
  </si>
  <si>
    <t>EMPRESAS COTADAS RAZÃO SOCIAL</t>
  </si>
  <si>
    <t>CNPJ</t>
  </si>
  <si>
    <t>FONTE</t>
  </si>
  <si>
    <t>VALOR UNITÁRIO</t>
  </si>
  <si>
    <t>FRETE TOTAL</t>
  </si>
  <si>
    <t>FRETE UNITÁRIO</t>
  </si>
  <si>
    <t>TOTAL UNITÁRIO</t>
  </si>
  <si>
    <t>DESVIO PADRÃO</t>
  </si>
  <si>
    <t>MÉDIA</t>
  </si>
  <si>
    <t>COEF. VARIAÇÃO</t>
  </si>
  <si>
    <t>LIMITE SUPERIOR</t>
  </si>
  <si>
    <t>LIMITE INFERIOR</t>
  </si>
  <si>
    <t>AVALIAÇÃO PROPOSTAS</t>
  </si>
  <si>
    <t>MÉDIA SANEADA</t>
  </si>
  <si>
    <t>VALOR TOTAL</t>
  </si>
  <si>
    <t>MULTISEG</t>
  </si>
  <si>
    <t>COPAFER</t>
  </si>
  <si>
    <t>ELÉTRICA ÁREA</t>
  </si>
  <si>
    <t>05.578.783/0001-09</t>
  </si>
  <si>
    <t>CENTRAL ELÉTRICA</t>
  </si>
  <si>
    <t>22.334.296/0004-62</t>
  </si>
  <si>
    <t>ANHANGUERA FERRAMENTAS</t>
  </si>
  <si>
    <t>OBRAMAX</t>
  </si>
  <si>
    <t xml:space="preserve"> 23.476.033/0001-08</t>
  </si>
  <si>
    <t>CHATUBA</t>
  </si>
  <si>
    <t>29.911.559/0001-55</t>
  </si>
  <si>
    <t>CONECTOR MÚLTIPLO 1"</t>
  </si>
  <si>
    <t>Unidut Múltiplo 1 (eletricaarea.com.br)</t>
  </si>
  <si>
    <t>https://www.chatuba.com.br/conector-para-condulete-multiplo-1-tramontina/p?idsku=6571&amp;gclid=EAIaIQobChMIh__lg8mB_wIVEPaRCh3jnQ5HEAQYAyABEgKhcvD_BwE</t>
  </si>
  <si>
    <t>CONECTOR MÚLTIPLO 1 1/2"</t>
  </si>
  <si>
    <t>ELETRORASTRO</t>
  </si>
  <si>
    <t>85.014.793 / 0001-50</t>
  </si>
  <si>
    <t>https://www.eletrorastro.com.br/produto/unidut-multiplo-adaptador-de-1-1-2-para-1-1-4-tramontina-90747?utm_source=google&amp;utm_medium=cpc&amp;utm_campaign=&amp;gclid=EAIaIQobChMIybjWj6KA_wIVRcKRCh1UXgJuEAQYAyABEgIu2_D_BwE</t>
  </si>
  <si>
    <t>https://www.lojacentraleletrica.com.br/produto/conector-adaptador-de-aluminio-para-condulete-multiplo-1-1-2-polegada-unidut-de-pressao-tramontina</t>
  </si>
  <si>
    <t>TRAMONTINA STORE</t>
  </si>
  <si>
    <t>55.728.224/0001-06</t>
  </si>
  <si>
    <t>DIMENSIONAL</t>
  </si>
  <si>
    <t>06.913.480/0015-63</t>
  </si>
  <si>
    <t>ELETRONOR</t>
  </si>
  <si>
    <t>05.047.273/0002-96</t>
  </si>
  <si>
    <t>JOLI</t>
  </si>
  <si>
    <t>51.769.255/0001-54</t>
  </si>
  <si>
    <t>TERMINAL PRE ISOLADO TIPO ILHÓS 2,5MM²</t>
  </si>
  <si>
    <t>ELÉTRICA MARMOTA</t>
  </si>
  <si>
    <t>63.010.185/0001-35</t>
  </si>
  <si>
    <t>https://www.marmota.com.br/terminal-pre-isolado-ilhos-2-5mm-azul-ti-2-5-8-intelli-p49037</t>
  </si>
  <si>
    <t>ELETRODEX</t>
  </si>
  <si>
    <t>10.707.399/0001-07</t>
  </si>
  <si>
    <t>https://www.eletrodex.net/terminais/terminal-pre-isolado-tubular-ilhos</t>
  </si>
  <si>
    <t>ELETROFATO</t>
  </si>
  <si>
    <t>80.224.785/0001-15</t>
  </si>
  <si>
    <t>https://www.eletrotrafo.com.br/terminal-pre-isol-pino-ilhos-tubular-az--25mm--ti-25-8-intelli-penzel-02010076/p?idsku=4312&amp;gclid=EAIaIQobChMIoLqZkK3e-gIVbU9IAB13nweOEAQYCyABEgIJYfD_BwE</t>
  </si>
  <si>
    <t>TERMINAL PRE ISOLADO TIPO ILHÓS 4MM²</t>
  </si>
  <si>
    <t>https://www.marmota.com.br/terminal-pre-isolado-ilhos-4mm-cinza-ti-4-12-intelli-p49019</t>
  </si>
  <si>
    <t>TERMINAL PRE-ISOL PINO ILHOS TUBULAR CINZA (0,75MM) - PENZEL - eletrotrafo</t>
  </si>
  <si>
    <t>BERNAL</t>
  </si>
  <si>
    <t>05.543.938/0001-71</t>
  </si>
  <si>
    <t>FERRAMENTAS KENNEDY</t>
  </si>
  <si>
    <t>LOJA ELÉTRICA</t>
  </si>
  <si>
    <t>17.155.342/0001-83</t>
  </si>
  <si>
    <t>C&amp;C</t>
  </si>
  <si>
    <t>63.004.030.0030-20</t>
  </si>
  <si>
    <t>10.498.304/0001-84</t>
  </si>
  <si>
    <t>https://www.eletrorastro.com.br/produto/conector-macho-giratorio-1-latao-zincado-indel-85515</t>
  </si>
  <si>
    <t>ELETROTRAFO</t>
  </si>
  <si>
    <t>https://www.eletrotrafo.com.br/conector-para-sealtubo-fixo-macho---delcaflex/p?idsku=5824&amp;gclid=EAIaIQobChMIvK7Lyr74_gIVxmxMCh1t8gtcEAQYBCABEgJESfD_BwE</t>
  </si>
  <si>
    <t xml:space="preserve"> 06.913.480/0015-63</t>
  </si>
  <si>
    <t>23.476.033/0001-08</t>
  </si>
  <si>
    <t>ELETROSUL</t>
  </si>
  <si>
    <t>02.554.116/0002-89</t>
  </si>
  <si>
    <t>SANTIL</t>
  </si>
  <si>
    <t>49.474.398/0008-63</t>
  </si>
  <si>
    <t>LEROY MERLIN</t>
  </si>
  <si>
    <t>01.438.784/0048-60</t>
  </si>
  <si>
    <t>ELÉTRICA BICHUETTE</t>
  </si>
  <si>
    <t>13.756.867/0001-13</t>
  </si>
  <si>
    <t xml:space="preserve"> 00.565.813/0001-29</t>
  </si>
  <si>
    <t>UNIVERSO DO LAR</t>
  </si>
  <si>
    <t>24.645.513/0001-18</t>
  </si>
  <si>
    <t>PJ NEBLINA</t>
  </si>
  <si>
    <t>KABUM</t>
  </si>
  <si>
    <t>05.570.714/0001-59</t>
  </si>
  <si>
    <t>HD STORE</t>
  </si>
  <si>
    <t>12.580.606/0001-22</t>
  </si>
  <si>
    <t>UPPERSEG</t>
  </si>
  <si>
    <t>17.354.683/0001-88</t>
  </si>
  <si>
    <t>CAIXA DE PASSAGEM 300X300X200</t>
  </si>
  <si>
    <t>VIEW TECH</t>
  </si>
  <si>
    <t>29.094.324/0001-18</t>
  </si>
  <si>
    <t>https://www.viewtech.ind.br/catalog/product/view/id/3717/s/caixa-para-painel-de-comando-eletrico-30x30x20-view-tech/?utm_source=&amp;utm_medium=&amp;utm_campaign=&amp;utm_term=&amp;utm_content=</t>
  </si>
  <si>
    <t>EHE INDUSTRIA</t>
  </si>
  <si>
    <t>10.673.839/0001-44</t>
  </si>
  <si>
    <t>https://www.lojaehe.com.br/eletrica/quadro-de-comando/quadro-comando-30x30x20-cm-caixa-de-motagem-30x30x20-cm?parceiro=6256&amp;gclid=EAIaIQobChMItdn2u_H__gIVEzrUAR101Q_DEAQYAyABEgJ7KPD_BwE&amp;variant_id=25</t>
  </si>
  <si>
    <t>05.929.836/0001-99</t>
  </si>
  <si>
    <t>CERTIFICADOR DE REDES</t>
  </si>
  <si>
    <t>LOJA DO MECÂNICO</t>
  </si>
  <si>
    <t>29.302.348/0001-15 </t>
  </si>
  <si>
    <t>https://www.lojadomecanico.com.br/produto/149507/49/788/MicroScanner-Verificador-de-Falhas-MS2-100/153/?utm_source=googleshopping&amp;utm_campaign=xmlshopping&amp;utm_medium=cpc&amp;utm_content=149507&amp;gclid=EAIaIQobChMI6M7BgPX__gIVtjrUAR25oQjSEAYYASABEgKhePD_BwE</t>
  </si>
  <si>
    <t> 00.565.813/0001-29</t>
  </si>
  <si>
    <t>https://www.anhangueraferramentas.com.br/produto/microscanner-2-verificador-de-falhas-ms2-100-fluke-122665?utm_source=google&amp;utm_medium=cpc&amp;utm_campaign=https://www.anhangueraferramentas.com.br/produto/microscanner-2-verificador-de-falhas-ms2-100-fluke-122665?utm_source=google&amp;utm_medium=cpc&amp;utm_campaign=merchant&amp;gclid=EAIaIQobChMI7oafqPj__gIVEDWRCh38BgtSEAQYAiABEgI0MPD_BwE</t>
  </si>
  <si>
    <t>PAPEL DE PAREDE VINILICO</t>
  </si>
  <si>
    <t>ANDREA FALCAO BARBOSA ADESIVOS ME</t>
  </si>
  <si>
    <t>10.925.384/0001-07</t>
  </si>
  <si>
    <t>https://www.donacereja.com.br/papel-de-parede-linho-cinza?gclid=Cj0KCQjw48OaBhDWARIsAMd966CfLLMSUl70ptd30D-zGwfcCyVcHYml7YsScGTvVBvnJBB4Eq-UK6EaAmxJEALw_wcB</t>
  </si>
  <si>
    <t>ARTS PAPEIS</t>
  </si>
  <si>
    <t>35.797.206/0001-79</t>
  </si>
  <si>
    <t>https://artspapeldeparede.com.br/produtos/papel-de-parede-adesivo-textura-linho-cinza/?pf=gs&amp;variant=389567848</t>
  </si>
  <si>
    <t>INSPIRE HOME</t>
  </si>
  <si>
    <t>24.335.485/0001-32</t>
  </si>
  <si>
    <t>PERFIL DE SOBREPOR 35X1000MM 3000K PRETO</t>
  </si>
  <si>
    <t>CONDULETE MÚLTIPLO TIPO L 1 1/2" ALUMÍNIO</t>
  </si>
  <si>
    <t>https://www.eletricaarea.com.br/material-eletrico/conduletes-e-acessorios/condulete-aluminio-multiplo-l-1-12-com-tampa-sem-pintura?parceiro=1263&amp;gclid=EAIaIQobChMItdv7tO7d-gIVxUFIAB2VZA_nEAQYAiABEgIrI_D_BwE</t>
  </si>
  <si>
    <t>60.344.348/0001-28</t>
  </si>
  <si>
    <t>UNIDUT CÔNICO 1"</t>
  </si>
  <si>
    <t>https://www.eletricaarea.com.br/material-eletrico/conduletes-e-acessorios/unidut-conico-1-flexor?parceiro=1263&amp;gclid=EAIaIQobChMIzZzJ-u_g-gIVIUFIAB0oSgvxEAQYASABEgLfn_D_BwE</t>
  </si>
  <si>
    <t>https://www.dimensional.com.br/conector-unidut-conico-mac-fixo-al-s-v-s-r-1-2-56126021/p?idsku=193271&amp;gclid=EAIaIQobChMIzZzJ-u_g-gIVIUFIAB0oSgvxEAQYAyABEgKNkPD_BwE</t>
  </si>
  <si>
    <t>UNIDUT CÔNICO 2"</t>
  </si>
  <si>
    <t>https://www.eletricaarea.com.br/material-eletrico/conduletes-e-acessorios/unidut-conico-2-92133?parceiro=1263&amp;gclid=EAIaIQobChMIr9rE3fDg-gIVDUWRCh0WhAiNEAQYASABEgLkyPD_BwE</t>
  </si>
  <si>
    <t>https://www.pjneblina.com.br/produto/unidut-conico-interna-2-polegadas-sem-vedacao-c-pb-daisa/5270665/?gclid=CjwKCAjwgqejBhBAEiwAuWHioNhO_Pf1RmN_DhdeJvpUdmBsFluTdT1juuvNqhlpSdKVw8ff1lCHdRoCzjYQAvD_BwE</t>
  </si>
  <si>
    <t>BUCHA PARA UNIDUT CÔNICO 1"</t>
  </si>
  <si>
    <t>https://www.pjneblina.com.br/produto/bucha-para-eletroduto-aluminio-1-polegada-wetzel/5285647/?gclid=CjwKCAjwgqejBhBAEiwAuWHioEi3Yt6CCpmUQg91FWBdIENg7fRqSclx5SR0Dn3D1JSRb5Hiq7iANxoCYsUQAvD_BwE</t>
  </si>
  <si>
    <t>https://www.anhangueraferramentas.com.br/produto/bucha-1-56134-004-tramontina-eletrik-107059?utm_source=google&amp;utm_medium=cpc&amp;utm_campaign=https://www.anhangueraferramentas.com.br/produto/bucha-1-56134-004-tramontina-eletrik-107059?utm_source=google&amp;utm_medium=cpc&amp;utm_campaign=merchant&amp;gclid=EAIaIQobChMIl93-l_Lg-gIVW0FIAB3doQlfEAQYAyABEgJel_D_BwE</t>
  </si>
  <si>
    <t>https://www.magazineluiza.com.br/bucha-1-tramontina/p/ebch0j0488/fs/buch/?&amp;seller_id=expresso102</t>
  </si>
  <si>
    <t>BUCHA PARA UNIDUT CÔNICO 2"</t>
  </si>
  <si>
    <t>https://www.pjneblina.com.br/produto/bucha-aluminio-2-polegadas-com-rosca-bsp-para-eletroduto-wetzel/5346563/?gclid=CjwKCAjwgqejBhBAEiwAuWHioJpTJ9SUVU41zMzP6vpVBuQISCpQyZ6l5NjB0V-XGO-afQFY0y_YwhoCAjAQAvD_BwE</t>
  </si>
  <si>
    <t>00.776.574/0006-60</t>
  </si>
  <si>
    <t xml:space="preserve">CAIXA DE EMBUTIR DRYWALL </t>
  </si>
  <si>
    <t>https://www.bernalonline.com.br/caixa-de-luz-4x4-para-drywall-tramontina-526-p16019</t>
  </si>
  <si>
    <t>https://www.obramax.com.br/caixinha-de-embutir-4x2-para-drywall-amanco-89534655.html?region_id=138911&amp;gclid=EAIaIQobChMIxv-7543h-gIVEzaRCh2c4Q7HEAQYAiABEgLzQfD_BwE</t>
  </si>
  <si>
    <t>https://www.eletricaarea.com.br/material-eletrico/quadros-e-caixas/caixa-pvc-4x2-drywall?parceiro=1263&amp;gclid=EAIaIQobChMIrMmd-I3h-gIVAWuRCh2yXQnYEAQYBSABEgIICPD_BwE</t>
  </si>
  <si>
    <t>CAIXA DE EMBUTIR ALVENARIA</t>
  </si>
  <si>
    <t>https://www.bernalonline.com.br/caixa-de-luz-4x2-tramontina-524-p16017?tsid=27&amp;gad=1&amp;gclid=EAIaIQobChMIiODAmeb__gIVfSfUAR3_nAEfEAQYCSABEgJRrvD_BwE</t>
  </si>
  <si>
    <t>FIO FORTE</t>
  </si>
  <si>
    <t>37.339.608/0001-55</t>
  </si>
  <si>
    <t>https://www.lojafioforte.com.br/caixa-de-luz-4x2-retangular-amarela?utm_source=Site&amp;utm_medium=GoogleMerchant&amp;utm_campaign=GoogleMerchant&amp;gclid=EAIaIQobChMIxOv0gZHh-gIVQUJIAB2jTwOkEAQYAiABEgIWwfD_BwE</t>
  </si>
  <si>
    <t>https://www.obramax.com.br/caixinha-de-embutir-4x2-para-alvenaria-amarela-tigreflex-89011573.html?region_id=138911&amp;gclid=EAIaIQobChMIxOv0gZHh-gIVQUJIAB2jTwOkEAQYAyABEgLfAvD_BwE</t>
  </si>
  <si>
    <t>PLUGUE FÊMEA 2P + T 10A</t>
  </si>
  <si>
    <t>https://www.joli.com.br/plugue-tomada-2p-t-juncao-femea-10a-preto-fame/p?idsku=6927&amp;CampanhaInstitucional&amp;gclid=EAIaIQobChMIlJ7Iz5Hh-gIVnUVIAB3C_Q8tEAQYASABEgKPv_D_BwE</t>
  </si>
  <si>
    <t>55.728.224/0001-06 </t>
  </si>
  <si>
    <t>https://www.copafer.com.br/plugue-femea-2p-t-10a-preto-2146-fame-p1093735?region_id=000001</t>
  </si>
  <si>
    <t>https://www.dimensional.com.br/plugue-femea-energia-predial-femea-preto-2-polos-terra-250-v-10-a-57403053-tramontina/p?idsku=862176&amp;gclid=EAIaIQobChMIlJ7Iz5Hh-gIVnUVIAB3C_Q8tEAQYCCABEgJATPD_BwE</t>
  </si>
  <si>
    <t>TERMINAL PRE ISOLADO FORQUILHA</t>
  </si>
  <si>
    <t>https://loja.eletronor.com.br/terminal-p-isolado-forq-15x25mm-az-ref--g-1009-4---axt-01/p?idsku=87&amp;srsltid=AR57-fCVFBu0pAIOnHFLu93YeZzutjLDCIfXQPDHDiRVmT6wabs9lFaoRsc</t>
  </si>
  <si>
    <t>https://www.eletrotrafo.com.br/terminal-pre-isol-forquilha-azul--15-a-25mm----penzel/p?idsku=4297&amp;gclid=CjwKCAjw36GjBhAkEiwAKwIWyfeJ4GY7fzmpqwQ_Fo0FXazEDjDHkUN0MD-5mnnsEi3sj9rwUp0y3BoC3CQQAvD_BwE</t>
  </si>
  <si>
    <t>ILUMISUL</t>
  </si>
  <si>
    <t xml:space="preserve"> 80.655.053/0001-80</t>
  </si>
  <si>
    <t>TEKY</t>
  </si>
  <si>
    <t>22.193.309/0001-88</t>
  </si>
  <si>
    <t>CABO OPTICO DIELÉTRICO 12 PARES - 100 METROS</t>
  </si>
  <si>
    <t>Dimensional</t>
  </si>
  <si>
    <t>https://www.dimensional.com.br/cabo-fibra-optica-interna-externa-monomodo-12-opticlan-furukawa/p?idsku=733828&amp;gclid=CjwKCAjwgqejBhBAEiwAuWHioNaUx8nrLwsRv6a9yuSA4R_EGauiqsMIljr0Te37HyyXXCs78ModkhoCSi0QAvD_BwE</t>
  </si>
  <si>
    <t>LOJAMATEL - Mercado Livre</t>
  </si>
  <si>
    <t>57.644.825/0001-66</t>
  </si>
  <si>
    <t>https://produto.mercadolivre.com.br/MLB-3310291629-cabo-fibra-optica-12fo-internoexterno-furukawa-50-metros-_JM?matt_tool=10738792&amp;matt_word=&amp;matt_source=google&amp;matt_campaign_id=14504862881&amp;matt_ad_group_id=131120366102&amp;matt_match_type=&amp;matt_network=g&amp;matt_device=c&amp;matt_creative=584156655579&amp;matt_keyword=&amp;matt_ad_position=&amp;matt_ad_type=pla&amp;matt_merchant_id=227406763&amp;matt_product_id=MLB3310291629&amp;matt_product_partition_id=1799135963642&amp;matt_target_id=pla-1799135963642&amp;gclid=CjwKCAjwgqejBhBAEiwAuWHioLgo9Ph8rz7AAjdjACB8aydYFeZd-5eMt1Nw1GmGuWuP2EEaAY7E1RoChYUQAvD_BwE</t>
  </si>
  <si>
    <t>CORDÃO ÓPTICO DUPLEX CONECTORIZADO NAS DUAS EXTREMIDADES TOTALMENTE DIELÉTRICO CONSTITUÍDO POR FIBRAS DO TIPO MONOMODO, COM REVESTIMENTO PRIMÁRIO EM ACRILATO E REVESTIMENTO SECUNDÁRIO EM MATERIAL POLIMÉRICO E TERMOPLÁSTICO COM ELEMENTOS DE TRAÇÃO DE FIOS DIELÉTRICOS E CAPA EM MATERIAL TERMOPLÁSTICO NÃO PROPAGANTE À CHAMA. COMPRIMENTO DE 2,5 METROS. CABO EM CONFORMIDADE COM AS NORMAS ANSI/TIA-568.1-D, ANSI/TIA-568.3-D, ABNT NBR 14106, 14333. 14565 E 14771.
REFERÊNCIA: FURUKAWA SM LC – UPC / LC UPC 2.5M (A-B)</t>
  </si>
  <si>
    <t>PATCH CORD ÓPTICO (CORDÃO ÓPTICO) MONOMODO DUPLEX COG AZUL CONECTOR LC/UPC PARA LC/UPC cat6 1m</t>
  </si>
  <si>
    <t>https://www.dimensional.com.br/cordao-optico-sm-1f-lszh-az-fc-apc-sc-upc-20m-33004442-furukawa/p</t>
  </si>
  <si>
    <t>Mercado Livre / PPLINK FIBER</t>
  </si>
  <si>
    <t>45.462.725/0001-30</t>
  </si>
  <si>
    <t>https://produto.mercadolivre.com.br/MLB-2868595380-cordo-optico-dpx-mm-625125-lc-upclc-upc-25m-_JM?matt_tool=92309335&amp;matt_word=&amp;matt_source=bing&amp;matt_campaign=MLB_ML_BING_AO_HOME%20%26%20INDUSTRY-ALL-ALL_X_PLA_ALLB_TXS_ALL&amp;matt_campaign_id=382858298&amp;matt_ad_group=HOME%20%26%20INDUSTRY&amp;matt_match_type=e&amp;matt_network=o&amp;matt_device=c&amp;matt_keyword=default&amp;msclkid=5772cf45c8231761df62ab2f4b138b94&amp;utm_source=bing&amp;utm_medium=cpc&amp;utm_campaign=MLB_ML_BING_AO_HOME%20%26%20INDUSTRY-ALL-ALL_X_PLA_ALLB_TXS_ALL&amp;utm_term=4579053617522479&amp;utm_content=HOME%20%26%20INDUSTRY</t>
  </si>
  <si>
    <t>CONECTOR RETO PVC 1"</t>
  </si>
  <si>
    <t>SUPERPRO</t>
  </si>
  <si>
    <t>08.858.579/0004-82</t>
  </si>
  <si>
    <t>https://www.superproatacado.com.br/55155/conector-box-1-reto-pvc-cinza-inpol?gclid=CjwKCAjwgqejBhBAEiwAuWHioM3QIx6HKCJ9XTlRoKdH3VlXy1E47xwwSVF6QJUeBl0_v7K-ipP9URoCD-QQAvD_BwE</t>
  </si>
  <si>
    <t>https://www.ilumisul.com.br/ProdutoId_518,59/Material-Eletrico/Conduletes/Conector-Reto-PVC/Conector-Box-Reto-Para-Condulete-1-Cinza----Inpol.html?gclid=EAIaIQobChMI7viZzf7l-gIV6EFIAB2xeAbcEAQYAiABEgKUp_D_BwE</t>
  </si>
  <si>
    <t>CONECTOR RJ45 FEMEA</t>
  </si>
  <si>
    <t>IBYTE</t>
  </si>
  <si>
    <t xml:space="preserve">07.272.825/0004-57 </t>
  </si>
  <si>
    <t>https://www.ibyte.com.br/conector-rj45-cat6-femea-1-unidade/p</t>
  </si>
  <si>
    <t>https://www.kabum.com.br/produto/234519/conector-rj45-cat6-femea-1-unidade?srsltid=AdGWZVRKEoUygWO37g161P8lCNnIr4Wb_mtWKFzBxcnM2M_x_pHRKg1WOLw</t>
  </si>
  <si>
    <t>AMERICANAS</t>
  </si>
  <si>
    <t>https://www.americanas.com.br/produto/2489825453?opn=YSMESP&amp;offerId=62bde6782376eb9c7240781c&amp;srsltid=AdGWZVSnzS0XHdPeICPIY2CKOd6kWno-wJPVjSrRlu60SPs9pF60_jvkJBo</t>
  </si>
  <si>
    <t>CONECTOR RJ45 MACHO</t>
  </si>
  <si>
    <t>07.272.825/0004-57</t>
  </si>
  <si>
    <t>https://www.ibyte.com.br/conector-rj45-cat6-macho-fc-1-unidade/p</t>
  </si>
  <si>
    <t>https://www.santil.com.br/produto/conector-rj45-macho-importado-cat6-oceanoti/470754</t>
  </si>
  <si>
    <t>https://www.teky.com.br/7937/canaleta-aluminio-lisa-com-divisoria-53x15x2000mm-com-tampa-branca-dutotec-x-dutotec?srsltid=AR57-fAsI5kNdl-exBjox9nOEc7uAShhshf-elrVPdnN2gfuZG6psw10ceE</t>
  </si>
  <si>
    <t>RACK FECHADO 19" U44</t>
  </si>
  <si>
    <t>WBX</t>
  </si>
  <si>
    <t>33.522.589/0001-47</t>
  </si>
  <si>
    <t>https://wbxracks.com.br/produto/rack-piso-fechado-44u-x-870mm/?gclid=EAIaIQobChMIjoym5ZSJ_wIVKjbUAR1GvgJKEAQYAiABEgLEj_D_BwE</t>
  </si>
  <si>
    <t>RACK SÃO PAULO</t>
  </si>
  <si>
    <t>28.918.008/0001-50</t>
  </si>
  <si>
    <t>https://racksaopaulo.com.br/produto/rack-fechado-44u/?gclid=EAIaIQobChMIjoym5ZSJ_wIVKjbUAR1GvgJKEAQYAyABEgIRavD_BwE</t>
  </si>
  <si>
    <t>SHOPPING DOS RAKS</t>
  </si>
  <si>
    <t>https://shoppingdosracks.com.br/loja/rack-servidor-fechado-44u/</t>
  </si>
  <si>
    <t>DISTRIBUIDOR INTERNO OPTICO</t>
  </si>
  <si>
    <t>NET COMPUTADORES</t>
  </si>
  <si>
    <t>02.465.944/0001-60</t>
  </si>
  <si>
    <t>https://netcomputadores.com.br/p/35260163-furukawa-modulo-basico-dio/12173</t>
  </si>
  <si>
    <t>GUIA DE CABOS HORIZONTAL</t>
  </si>
  <si>
    <t>CENTRAL CABOS</t>
  </si>
  <si>
    <t>08.626.431/0001-70</t>
  </si>
  <si>
    <t>https://www.centralcabos.com.br/guia-de-cabos-1u-preto/p?idsku=1078554&amp;gad=1&amp;gclid=EAIaIQobChMIn7yU8Z2C_wIVBMKRCh1F1AMdEAQYCCABEgJMX_D_BwE</t>
  </si>
  <si>
    <t>GRUPO SOLUÇÃO</t>
  </si>
  <si>
    <t>00.559.915/0001-31</t>
  </si>
  <si>
    <t>https://www.solucaocabos.com.br/guia-de-cabo-horizontal-1u-19-/p?idsku=13077&amp;gclid=EAIaIQobChMIn7yU8Z2C_wIVBMKRCh1F1AMdEAQYBiABEgL4rPD_BwE</t>
  </si>
  <si>
    <t>https://www.upperseg.com.br/informatica/racks/guia-organizador-de-cabos-horizontal-19-1u-preto/</t>
  </si>
  <si>
    <t>VOICEL PAINEL 50 PORTAS</t>
  </si>
  <si>
    <t>HR2TECH</t>
  </si>
  <si>
    <t>36221,931/0001-67</t>
  </si>
  <si>
    <t>https://www.magazineluiza.com.br/voice-panel-50-portas-telefonia-rj45-11-c-guia-e-aterramento-paralelo/p/dba5db656h/rc/rcnm/?&amp;seller_id=hr2tech1&amp;utm_source=google&amp;utm_medium=pla&amp;utm_campaign=&amp;partner_id=69104&amp;gclid=Cj0KCQjw08aYBhDlARIsAA_gb0fR2m6XGoqFbxzv4X_h9sTVaG4FEcBdo_btQJaq1nOgBHVQy2LRpi0aAh_QEALw_wcB&amp;gclsrc=aw.ds</t>
  </si>
  <si>
    <t xml:space="preserve">BANDEJA FIXA FRONTAL </t>
  </si>
  <si>
    <t>TUDO FORTE</t>
  </si>
  <si>
    <t>https://www.hdstore.com.br/bandeja-fixa-max-eletron-19-pol-250mm-preto-4562?gclid=EAIaIQobChMIpc26zaLm-gIV8uBcCh18NgVQEAQYBCABEgKKxfD_BwE</t>
  </si>
  <si>
    <t>GRAVADOR NVR 32 CAMERAS IP</t>
  </si>
  <si>
    <t>HOME LIVE AUTOMAÇÃO</t>
  </si>
  <si>
    <t>19.257.246/0001-71</t>
  </si>
  <si>
    <t>https://www.madeiramadeira.com.br/gravador-de-video-ip-nvr-32-canais-8-mp-4k-nvd-1432-intelbras-155052421.html?id=155052421</t>
  </si>
  <si>
    <t>LEITOR DE CARTÃO</t>
  </si>
  <si>
    <t>https://www.upperseg.com.br/interfonia/controle-de-acesso/leitor-de-cartao-rfid-125-khz-por-proximidade-le-130-intelbras/?gclid=EAIaIQobChMIkIX2m6jm-gIVE09IAB1s4QjeEAQYAiABEgJoH_D_BwE</t>
  </si>
  <si>
    <t>NET ALARMES</t>
  </si>
  <si>
    <t>20.544.487/0001-80</t>
  </si>
  <si>
    <t>https://www.netalarmes.com.br/leitor-de-cartao-intelbras-le-130-rfid-125-khz?parceiro=8046&amp;parceiro=8764&amp;gclid=EAIaIQobChMIkIX2m6jm-gIVE09IAB1s4QjeEAQYAyABEgJ4BvD_BwE</t>
  </si>
  <si>
    <t>FECHADURA ELETROIMÃ</t>
  </si>
  <si>
    <t>https://www.upperseg.com.br/buscape/fechadura-eletroima-magnetica-universal-fe-20150-com-sensor-intelbras/</t>
  </si>
  <si>
    <t>https://www.netalarmes.com.br/fechadura-eletroima-intelbras-fe-20150-150-kgf-com-sensor</t>
  </si>
  <si>
    <t>CFTV CLUBE</t>
  </si>
  <si>
    <t>23.025.667/0001-44</t>
  </si>
  <si>
    <t>https://www.cftvclube.com.br/todos-os-produtos/fechadura-eletrica-intelbras-fe-20150-prata-c-sensor</t>
  </si>
  <si>
    <t>SUPORTE PARA FECHADURA</t>
  </si>
  <si>
    <t>https://www.upperseg.com.br/interfonia/fechaduras/fechadura-eletromagnetica/suporte-sv-21150-d-intelbras-para-fechadura-eletroima-fe-21150-d/?gclid=EAIaIQobChMIgNOv0anm-gIVguBcCh3Xfg8oEAQYASABEgIta_D_BwE</t>
  </si>
  <si>
    <t>https://www.netalarmes.com.br/fechaduras-e-travas/acessorios/suporte-intelbras-para-fechadura-eletroima-fe-21150-d-sv-21150-d?parceiro=8046&amp;parceiro=8764&amp;gclid=EAIaIQobChMIgNOv0anm-gIVguBcCh3Xfg8oEAQYAyABEgKKT_D_BwE</t>
  </si>
  <si>
    <t>SEGURANÇA TELECON</t>
  </si>
  <si>
    <t>32.438.394/0001-50</t>
  </si>
  <si>
    <t>https://www.segurancaetelecom.com.br/p/suporte-para-fechadura-eletroima-fe-21150-d-para-portas-de-vidro-sv-21150-d?gclid=EAIaIQobChMIgNOv0anm-gIVguBcCh3Xfg8oEAQYBSABEgJBoPD_BwE</t>
  </si>
  <si>
    <t>CAIXA DE PASSAGEM POLAR</t>
  </si>
  <si>
    <t>https://www.leroymerlin.com.br/caixa-passagem-para-ar-condicionado-split-pop-2-em-1-polar_89003656</t>
  </si>
  <si>
    <t>FRIOPAR</t>
  </si>
  <si>
    <t>30.058.821/0001-40</t>
  </si>
  <si>
    <t>https://frioparcomercial.com.br/produto/caixa-de-passagem-split-reversivel-295x17x5cm-drenoar/</t>
  </si>
  <si>
    <t>CAIXA DE VENTILAÇÃO 500M3</t>
  </si>
  <si>
    <t>NOVA EXAUSTORES</t>
  </si>
  <si>
    <t>08.022.764/0001-90</t>
  </si>
  <si>
    <t>https://www.novaexaustores.com.br/exaustores/caixa-de-ventilacao-cfm-500</t>
  </si>
  <si>
    <t>FILBOX RED 200</t>
  </si>
  <si>
    <t>https://www.novaexaustores.com.br/exaustores/caixa-de-filtragem-em-abs-mod-filbox-red-200</t>
  </si>
  <si>
    <t>ARTECH</t>
  </si>
  <si>
    <t>39.777.798/0001-18</t>
  </si>
  <si>
    <t>https://www.lojaartech.com.br/caixa-de-filtragem-filbox-red-150mm-filtro-g4m5-sictell-unico</t>
  </si>
  <si>
    <t>FRIO SHOPPING</t>
  </si>
  <si>
    <t>10.631.556/0001-30</t>
  </si>
  <si>
    <t>https://www.frioshopping.com/exaustores/caixa-de-filtragem/filbox-red/caixa-de-filtragem-filbox-red-200-sicflux-g4m5-220v</t>
  </si>
  <si>
    <t>FRIGELAR</t>
  </si>
  <si>
    <t>92.660.406/0001-19</t>
  </si>
  <si>
    <t>https://www.eletricaarea.com.br/automacao/controladores/conector-macho-giratorio-1-bsp</t>
  </si>
  <si>
    <t>Quadro Comando Sobrepor Aço Carbono Bege Ral 7032 200 Mm 200 Mm 120 Mm CE202012 - CEMAR - Dimensional</t>
  </si>
  <si>
    <t xml:space="preserve">06.913.480/0015-63 </t>
  </si>
  <si>
    <t>Instrumento Portátil 10A50Grc CAT 5E/6/6A Microscanner MS2POE Fluke - Dimensional</t>
  </si>
  <si>
    <t xml:space="preserve"> 06.913.480/0015-63 </t>
  </si>
  <si>
    <t>Condulete Múltiplo 1" Tipo "l" Com Tampa | Leroy Merlin</t>
  </si>
  <si>
    <t>Condulete Múltiplo 1" Tramontina Tipo L com Tampa de Qualidade em Promoção | Tramontina Store</t>
  </si>
  <si>
    <t>07.635.498/0008-84</t>
  </si>
  <si>
    <t>Conector Box Reto (Unidut Cônico) 1" Rosca Externa BSP - Material de Construção é na Obramax | 1º Atacado e Varejo do Brasil</t>
  </si>
  <si>
    <t>Unidut Pressão Cônico Comum 2" Alumínio Tramontina - Santil</t>
  </si>
  <si>
    <t>Bucha 2" para Eletrodutos - New Electric MJ</t>
  </si>
  <si>
    <t>45.297.228/0001-23</t>
  </si>
  <si>
    <t>NEW ELETRIC</t>
  </si>
  <si>
    <t>Bucha Alumínio 2" Com Rosca BSP P/ Eletroduto Wetzel S.A | Teky</t>
  </si>
  <si>
    <t>TEKY INTERMEDIAÇOES</t>
  </si>
  <si>
    <t>Cart | FibraStore</t>
  </si>
  <si>
    <t>FIBRA STORE</t>
  </si>
  <si>
    <t>01.422.810/0001-07</t>
  </si>
  <si>
    <t>Patch Cord Fibra Óptica Lc-upc Single Mode Duplex 3.0mm 5m - Aztech Hardware</t>
  </si>
  <si>
    <t>06.062.128/0001-66</t>
  </si>
  <si>
    <t>AZ TECH</t>
  </si>
  <si>
    <t>REI DO SFP</t>
  </si>
  <si>
    <t>31.206.788/0001-10 </t>
  </si>
  <si>
    <t>Cabo Óptico Multimodo EO COG 2FO - solucaocabo (solucaocabos.com.br)</t>
  </si>
  <si>
    <t>SOLUCAO CABOS</t>
  </si>
  <si>
    <t>00.559.915/0001-31 </t>
  </si>
  <si>
    <t>CDS9LCXLC50M Cordão Duplex Monomodo LC/LC 50M (netcomputadores.com.br)</t>
  </si>
  <si>
    <t> 02.465.944/0001-60</t>
  </si>
  <si>
    <t>Conector Box 1 Reto PVC Cinza Inpol em Oferta | FK (ferramentaskennedy.com.br)</t>
  </si>
  <si>
    <t> 08.858.579/0015-35</t>
  </si>
  <si>
    <t>Conector RJ-45 Macho Categoria 5e Incolor Sohoplus -FURUKAWA - Dimensional</t>
  </si>
  <si>
    <t>YPPS-VUVT-10/50 MAXI TELECOM VOICE PANEL 50 PORTAS 1U (netcomputadores.com.br)</t>
  </si>
  <si>
    <t>DZ MATERIAS ELETRICOS</t>
  </si>
  <si>
    <t xml:space="preserve">78.718.673/0001-79 </t>
  </si>
  <si>
    <t>Bandeja Raker fixa frontal 2 pontos 1u x 250mm em Promoção na Americanas</t>
  </si>
  <si>
    <t>Bandeja Fixa 1U 19 250mm PRETO Fixação Frontal - Lojamatel</t>
  </si>
  <si>
    <t>LOJA MATEL</t>
  </si>
  <si>
    <t xml:space="preserve">17.354.683/0001-88 </t>
  </si>
  <si>
    <t>NVR Gravador Digital de Vídeo NVD 1432 Intelbras 32 Canais IP 4K na UpperSeg</t>
  </si>
  <si>
    <t>Gravador Digital de Vídeo NVD3308P | Dimensional - Dimensional</t>
  </si>
  <si>
    <t>06.913.480/0015-63 </t>
  </si>
  <si>
    <t>Controlador de Acesso Intelbras Digiprox SA 202 125kHz - na Tudo Forte | Câmera, DVR, Stand Alone, Segurança e Mais !</t>
  </si>
  <si>
    <t> 17.666.002/0001-17 </t>
  </si>
  <si>
    <t>Caixa Passagem Polar Split 29LX16AX6P Sem Tampa Frontal Reversível Alvenaria Convencional (frigelar.com.br)</t>
  </si>
  <si>
    <t>CFM 500 - 220V - CAIXA DE VENTILAÇÃO - MULTIVAC - SOLUÇÕES INOVADORAS PARA CONDUÇÃO DO AR</t>
  </si>
  <si>
    <t>MULTIVAC</t>
  </si>
  <si>
    <t>03.287.370/0002-20</t>
  </si>
  <si>
    <t>https://www.chatuba.com.br/valvula-de-mictorio-c-fechamento-automatico-decamatic-eco-cromado-deca/p?idsku=2181&amp;gad_source=4&amp;gclid=Cj0KCQjwxeyxBhC7ARIsAC7dS39rAwSj_ZPxyqRQglHIPenMBBOFdBZg1SZMsi1kZkjPbElu_VlBDrAaAkzVEALw_wcB</t>
  </si>
  <si>
    <t>VÁLVULA MICTÓRIO DE FECHAMENTO AUTOMÁTICO</t>
  </si>
  <si>
    <t>UNIDUT CÔNICO ALUMINÍNIO 3/4"</t>
  </si>
  <si>
    <t>https://www.santil.com.br/produto/unidut-conico-aluminio-34-polegada-reflumi/5501141</t>
  </si>
  <si>
    <t>https://www.teky.com.br/646a5a24d496504d21deb78b/conector-unidut-conico-aluminio-34-cbolsa-e-rosca-bsp-wetzel-s.a?srsltid=AfmBOorL6km7bInWssIhk6LvT2zjrShlqOw2z0vycyFp8ZYpLWCfAAUEf9w</t>
  </si>
  <si>
    <t>https://www.inframateriaiseletricos.com.br/unidut-conico-3-4?utm_source=Site&amp;utm_medium=GoogleShopping&amp;utm_campaign=IntegracaoGoogle</t>
  </si>
  <si>
    <t>INFRA</t>
  </si>
  <si>
    <t>https://www.chatuba.com.br/tampa-cega-para-condulete-1-tramontina-/p?idsku=8911&amp;gad_source=1&amp;gclid=Cj0KCQjwxeyxBhC7ARIsAC7dS3-xq7WwMQoopWaZCTAXw9zspU75J0tRzEkcjfIm40JzY5hiag89drQaAj5QEALw_wcB</t>
  </si>
  <si>
    <t>TAMPA CEGA PARA CONDULETE 1"</t>
  </si>
  <si>
    <t>https://www.amoedo.com.br/tampa-cega-p-condulete-1-estampadoaluminio/p?idsku=3088869&amp;region_id=101021&amp;gad_source=1&amp;gclid=Cj0KCQjwxeyxBhC7ARIsAC7dS3-mrCVbqTnTjknjZyGn3Y_oZrtj5hOTAEbz4XXrrnI9t--Wd_Pj7CYaAqrAEALw_wcB</t>
  </si>
  <si>
    <t>AMOEDO</t>
  </si>
  <si>
    <t>https://www.obramax.com.br/tampa-cega-para-caixinha-de-pvc-1--cinza-89692001/p?idsku=49417&amp;region_id=20930040&amp;gad_source=1&amp;gclid=Cj0KCQjwxeyxBhC7ARIsAC7dS3-gRO71nI-HH5XbX82S1l54hx7kwCsQKUvHGHfJ_xzVeDZxDl5ZrAMaAvOtEALw_wcB</t>
  </si>
  <si>
    <t>https://www.tudoforte.com.br/sensor-magnetico-de-abertura-c/fio-xas-porta-de-aco-mini-intelbras?parceiro=6347&amp;utm_source=google&amp;utm_medium=cpc&amp;utm_term=&amp;campaignid=16788958963&amp;adgroupid=&amp;targetid=&amp;adid=&amp;rnd=12804164606731324186&amp;gad_source=1&amp;gclid=Cj0KCQjwxeyxBhC7ARIsAC7dS39MJcvgbojEke7zJ7yZzBWlP2y9nVm-_lMJDUDq7xyrpQqY-Q-6bwwaAsTiEALw_wcB</t>
  </si>
  <si>
    <t>SENSOR MAGNÉTICO PARA ABERTURA DE PORTA</t>
  </si>
  <si>
    <t>https://www.cftvclube.com.br/alarmes/sensores-sem-fio/sensor-de-abertura-magnetico/sensor-magnetico-cfio-xas-porta-aco-mini?parceiro=2410&amp;parceiro=7283&amp;gad_source=1&amp;gclid=Cj0KCQjwxeyxBhC7ARIsAC7dS3_mBfXRHBGKrx2hvrjkSotbKGKlWNPP2810PC1_XtcmPfmYMVhNHqEaAtriEALw_wcB</t>
  </si>
  <si>
    <t>https://www.leroymerlin.com.br/rodape-de-poliestireno-frisado-branco-10cm-de-altura---10x1x240cm-_1568550339</t>
  </si>
  <si>
    <t>RODAPÉ DE POLIPROPILENO RECICLADO BRANCO H = 10CM (M)</t>
  </si>
  <si>
    <t>https://www.chatuba.com.br/rodape-100x13mm-240m-lev102-poliestireno-branco-santa-luzia/p?idsku=399902&amp;gad_source=1&amp;gclid=CjwKCAjwi_exBhA8EiwA_kU1MrloIxhHTmMrmcqz1Bu-z_y4DpK72ZOuNN1OEKZHzp6hiDX-ptcjjRoCgjkQAvD_BwE</t>
  </si>
  <si>
    <t>https://www.obramax.com.br/rodape-poliestireno-liso-fn10-branco-10x200cm-89671533/p?idsku=35597&amp;region_id=20930040&amp;gad_source=1&amp;gclid=CjwKCAjwi_exBhA8EiwA_kU1MjS4dXNtcCLa1h-WHzWKV7Swt1gxtknuHRBKulKiuAFPYL467KiZSRoC5i8QAvD_BwE</t>
  </si>
  <si>
    <t>RODAPÉ DE POLIPROPILENO RECICLADO PRETO H = 20CM (M)</t>
  </si>
  <si>
    <t>https://www.leroymerlin.com.br/rodape-de-poliestireno-frisado-scandian-15mmx20cmx2,40m-metro-linear-caixa-com-2,4-m-preto_1571516799</t>
  </si>
  <si>
    <t>https://www.chatuba.com.br/rodape-black-3480-santa-luzia/p?idsku=396332&amp;gad_source=1&amp;gclid=CjwKCAjwi_exBhA8EiwA_kU1MngXVA7rMZsvxC7g6CkUT3N5Sl5aO2qvqJhnp-kuWnexmVvSu8GImxoCuGMQAvD_BwE</t>
  </si>
  <si>
    <t>https://www.obramax.com.br/rodape-poliestireno-pu-preto-1-friso-15x240cm-89348266/p?idsku=12899&amp;region_id=20930040&amp;gad_source=1&amp;gclid=CjwKCAjwi_exBhA8EiwA_kU1MmHeLY9ZaRlwdjiK9PG7kJU7NJ9t3GySYPd7dKAew6nTCWt-98sw2xoCqvAQAvD_BwE</t>
  </si>
  <si>
    <t>CONJUNTO DE LED VERDE E VERMELHO PARA SINALIZAÇÃO DE PORTA</t>
  </si>
  <si>
    <t>https://www.noviseg.com.br/MLB-3313165957-semaforo-sinalizador-40-leds-12v-garen-seg-_JM</t>
  </si>
  <si>
    <t>NOVISEG</t>
  </si>
  <si>
    <t>https://www.dkwstore.com.br/MLB-3143344043-semaforo-aviso-de-veiculos-garagem-vermelho-e-verde-dni-6977-_JM?variation=177101809315&amp;gad_source=1&amp;gclid=CjwKCAjwi_exBhA8EiwA_kU1MlvyS50rmStjA-70F1JtuBVqy-Depku5ODbQs4bERr-rr7Uw2FO5DBoCFS4QAvD_BwE</t>
  </si>
  <si>
    <t>DKWSTORE</t>
  </si>
  <si>
    <t>AUTOGATE</t>
  </si>
  <si>
    <t>https://www.autogatebr.com/MLB-3313937013-sinalizador-semaforo-40-leds-12v-condominio-escolas-empresas-_JM</t>
  </si>
  <si>
    <t>CONECTOR BOX RETO, FABRICADO EM PVC, DIÂMETRO 1", COR CINZA. REF.: INPOL</t>
  </si>
  <si>
    <t>https://www.celet.com.br/box-reto-pvc-1-para-eletroduto-cinza-inpol</t>
  </si>
  <si>
    <t>CELET</t>
  </si>
  <si>
    <t>https://www.copafer.com.br/caixa-6-entradas-condulete-top-36005300-tigre-p1108884</t>
  </si>
  <si>
    <t>CONDULETE FABRICADO EM PVC, MÚLTIPLAS ENTRADAS, DIMENSÃO 1", MODELO 6 ENTRADAS, COM TAMPA CEGA. REF.: CONDULETE TOP TIGRE</t>
  </si>
  <si>
    <t>https://www.pjneblina.com.br/produto/condulete-pvc-multiplo-tipo-l-6-entradas-34-1-polegadas-com-5-polegadas-sem-vedacao-tigre/5189657</t>
  </si>
  <si>
    <t>https://www.leroymerlin.com.br/caixa-para-condulete-3-4-4x2-sem-rosca-6-entradas-pvc-tigre_86659510</t>
  </si>
  <si>
    <t>BUCHA PARA UNIDUT CÔNICO 3/4", FABRICADO EM LIGA DE ALUMÍNIO FUNDIDO, ACABAMENTO SEM PINTURA, DIMENSÃO 3/4", SEM ROSCA.</t>
  </si>
  <si>
    <t>PJNEBLINA</t>
  </si>
  <si>
    <t>https://www.pjneblina.com.br/produto/bucha-34-polegadas-para-eletroduto-aluminio-wetzel/5285649</t>
  </si>
  <si>
    <t>TUDO LÂMPADAS</t>
  </si>
  <si>
    <t>https://tudolampadas.sigeloja.com.br/Produto/62a3ab1b4160617f9710aa8b/Caixas-E-Conduletes/BUCHA-3/4%22-ALUMINIO-BSP-TRAMONTINA</t>
  </si>
  <si>
    <t>https://www.santil.com.br/produto/bucha-para-eletroduto-em-aluminio-34-metalurgica-inca/2726662</t>
  </si>
  <si>
    <t>CABO FLEXÍVEL PARA INSTRUMENTAÇÃO FORMADO POR 1 PAR #1,5MM², CONDUTORES EM COBRE NU, TÊMPERA MOLE, ENCORDOAMENTO CLASSE 2</t>
  </si>
  <si>
    <t>https://www.lojacentraleletrica.com.br/produto/cabo-de-cobre-flexivel-plastichumbo-2x1-5mm-cinza-750v-condumig?gad_source=1&amp;gclid=CjwKCAjwrvyxBhAbEiwAEg_Kgt0ineomaiJEL0k9bpIZwZ5-gmyi9C9LLoyD2l_LYCGH7KcIittptRoC4TUQAvD_BwE</t>
  </si>
  <si>
    <t>https://loja.conduscamp.com.br/produto/cabo-comandocontrole-2x100-mm%c2%b2-blindado-malha-de-cobre-estanhado-preto/5415770?idSku=5941170</t>
  </si>
  <si>
    <t>CONDUSCAMP</t>
  </si>
  <si>
    <t xml:space="preserve">ACIONADOR DE EMERGÊNCIA REARMÁVEL, CONEXÕES COM / NA / NF, FABRICADO EM ABS NA COR VERDE E VISOR EM POLICARBONATO. REFERÊNCIA: INTELBRAS AS 2010. </t>
  </si>
  <si>
    <t>https://yamamotto.com.br/produto/acionador-de-emergencia-rearmavel-intelbras-as-2010</t>
  </si>
  <si>
    <t>https://www.eletronicasantana.com.br/acionador-de-emergencia-rearmavel-as-2010-intelbras-9008618/p</t>
  </si>
  <si>
    <t>https://www.upperseg.com.br/interfonia/acessorios/caixa-acionador-de-emergencia-rearmavel-as-2010-automatiza-intelbras/</t>
  </si>
  <si>
    <t>ADAPTADOR PARA CONDULETE TOP® FABRICADO EM PVC, DIMENSÃO 3/4"</t>
  </si>
  <si>
    <t>https://www.copafer.com.br/adaptador-condulete-top-3-4-36005297-tigre-p1106717</t>
  </si>
  <si>
    <t>https://www.lojaeletrica.com.br/basket.aspx?idsku=2490703680384&amp;src=?idProduct=2490703680384&amp;iddept=0</t>
  </si>
  <si>
    <t>https://www.eletricaarea.com.br/material-eletrico/conduletes-e-acessorios/adaptador-condulete-top-34</t>
  </si>
  <si>
    <t>ACIONADOR DE ABERTURA PARA LIBERAÇÃO DE PORTA, CONTATOS COM / NA, INSTALAÇÃO EM CAIXA DE PASSAGEM 4X2", FABRICADO EM AÇO INOX. REF.: INTELBRAS BT 5000 IN.</t>
  </si>
  <si>
    <t>https://www.netalarmes.com.br/acionador-abertura-intelbras-bt-5000-in-embutir-inox-4-2?parceiro=8046&amp;parceiro=8764&amp;gad_source=1&amp;gclid=CjwKCAjw9IayBhBJEiwAVuc3fiw6eFDpYR1yzlxG3ZE-oGqgAedeaOXUWL87XMh8MJ68Lfz55MG3KBoCWUcQAvD_BwE</t>
  </si>
  <si>
    <t>https://www.upperseg.com.br/interfonia/controle-de-acesso/botoes-e-botoeiras/botoeira-acionador-de-abertura-inox-embutir-4x2-bt-5000-in-intelbras/?gad_source=1&amp;gclid=CjwKCAjw9IayBhBJEiwAVuc3frmP8rqZ1oRXuZp6qbCmT-28vRLQ3udVVLydGu2HID0QJ9Gh0QZBVBoCU7sQAvD_BwE</t>
  </si>
  <si>
    <t>https://www.cadmoferramentas.com.br/MLB-3561259525-controle-de-acesso-ip-poe-para-1-porta-kantech-tyco-kt-1-_JM</t>
  </si>
  <si>
    <t xml:space="preserve">PLACA PARA CONTROLE DE ACESSO DE 01 PORTA, ENTRADA PARA SENSOR, ENTRADAS E SAÍDAS AUXILIARES PARA INTEGRAÇÃO COM OUTROS SISTEMAS, COMUNICAÇÃO ETHERNET E WIEGAND. REFERÊNCIA: KANTECH KT-1-M-LA. </t>
  </si>
  <si>
    <t>https://loja.vsautomacao.net.br/controle-de-acesso/controladora-de-acesso-ip-porta-kantech-tyco-kt-1</t>
  </si>
  <si>
    <t>VS AUTOMAÇÃO</t>
  </si>
  <si>
    <t>https://www.netalarmes.com.br/camera-dome-intelbras-vhd-3220-mini-d-multi-hd-2mp-2-8mm-ip67?parceiro=8046&amp;parceiro=8764&amp;gad_source=1&amp;gclid=CjwKCAjw9IayBhBJEiwAVuc3ftj-hWEX5VvgFCnKh8eVlT_1kl0TBuLQzdVnCtbTf4dD4rld1EI_FxoCJykQAvD_BwE</t>
  </si>
  <si>
    <t>CÂMERA INTERNA, IP INFRA DOME 20 METROS HD, 2,8MM POE, ÂNGULO DE 180°, ALCANCE DE 20 METROS. REFERÊNCIA: INTELBRAS VIP 3220 D, INCLUSIVE CAIXA DE PASSAGEM PARA CÂMERAS DE CFTV PARA MONTAGEM EM PAREDE OU TETO, COMPATÍVEL COM CASE DOME E BULLET, COM GRAU DE PROTEÇÃO IP66, FABRICADO EM ALUMÍNIO DE COR BRANCA. REFERÊNCIA: INTELBRAS VBOX 5000 E.</t>
  </si>
  <si>
    <t>https://www.casadasegurancacambe.com.br/cftv-cameras/camera-multi-hd-vhd-3220-mini-d-microfone-embutido-full-hd-1080p?parceiro=6396&amp;gad_source=1&amp;gclid=CjwKCAjw9IayBhBJEiwAVuc3fp9Li60mEunR7rR57lhRACxaxL3h-yRXsO8A1kVhEVAVahzZBGxncxoCQRwQAvD_BwE</t>
  </si>
  <si>
    <t>CASA DA SEGURANÇA</t>
  </si>
  <si>
    <t>https://www.cftvclube.com.br/cameras/camera-intelbras-vhd-3220-mini-dome-c-microfone-2-0mp-1080p-2-8mm-metal?parceiro=2410&amp;variant_id=315&amp;parceiro=7283&amp;gad_source=1&amp;gclid=CjwKCAjw9IayBhBJEiwAVuc3fhFrPXzoZEv34PwnfimAZJOMMmzPet-4fQE_2gs1j5e2gDnz6waCIxoCLuQQAvD_BwE</t>
  </si>
  <si>
    <t>PONTES FERRAGENS</t>
  </si>
  <si>
    <t>https://www.pontesferragensloja.com.br/MLB-3257219928-5-chumbador-quimico-em-ampola-cura-rapida-para-concreto-12mm-_JM?gad_source=1&amp;gclid=CjwKCAjw9IayBhBJEiwAVuc3fpMpjZKfd1PMDU9T-_86MaBca-Il5QXRESTOoo9V4wtk7_4zt13ghBoCVccQAvD_BwE</t>
  </si>
  <si>
    <t>CARREFOUR</t>
  </si>
  <si>
    <t>https://www.carrefour.com.br/chumbador-quimico-em-ampola-cura-rapida-para-concreto-12mm-mp932305772/p?utm_medium=sem&amp;utm_source=google_pmax_3p&amp;utm_campaign=3p_performancemax_Eletro_Seller_C&amp;gad_source=1&amp;gclid=CjwKCAjw9IayBhBJEiwAVuc3fiCZQZFIeTTFlWe7pOW_onYGCgoo3fBbK_YHs2cTwXNC8Jonxt7ysBoCa1kQAvD_BwE</t>
  </si>
  <si>
    <t>https://www.lojastamoyo.com.br/produto/chumbador-quimico-bi-componente-ampola-12mm-aqa12-ancora-109294</t>
  </si>
  <si>
    <t>TAMOYO</t>
  </si>
  <si>
    <t>HASTE ROSCADA 1/2"</t>
  </si>
  <si>
    <t>https://www.leroymerlin.com.br/barra-roscada-unc-zincada-mister-tamanho-1-2_1568309470</t>
  </si>
  <si>
    <t>https://www.cec.com.br/ferragens/pregos-parafusos-e-buchas/parafuso/barra-roscada-zincada-1/2-com-1-metro?produto=1357278</t>
  </si>
  <si>
    <t>https://www.amoedo.com.br/barra-roscada-bemfixa-unc-1-2-/p</t>
  </si>
  <si>
    <t>MANILHA PARA CABO DE AÇO 10MM PESADA</t>
  </si>
  <si>
    <t>MADEIRA MADEIRA</t>
  </si>
  <si>
    <t>https://www.leroymerlin.com.br/manilha-p--cabo-de-aco-3-8-reta-pesado-galv-vonder-plus_1566879373</t>
  </si>
  <si>
    <t>https://www.madeiramadeira.com.br/manilha-reta-para-cabo-de-aco-3-8-vonder-plus-4540299.html?origem=pla-4540299&amp;utm_source=google&amp;utm_medium=cpc&amp;utm_content=anilhas-4544&amp;utm_term=&amp;utm_id=17854485303&amp;gad_source=1&amp;gclid=CjwKCAjw9IayBhBJEiwAVuc3fpJWuAJUxjIc9CHbXBZIrg0Pbrt6_10LZmloGAm90Od2maErF8DRDBoCLlMQAvD_BwE</t>
  </si>
  <si>
    <t>https://www.ferramentaskennedy.com.br/100084187/manilha-reta-3-4-1-10t-rosca-acerosid?gad_source=1&amp;gclid=CjwKCAjw9IayBhBJEiwAVuc3frULihVH8IdmbheMPXjxWh5GSKvWAtd0vq8XC6ncoJLk0P_oPRNh-RoCCOYQAvD_BwE</t>
  </si>
  <si>
    <t>https://www.leroymerlin.com.br/sapatilha-de-aco-zincado-para-cabo-de-aco-10mm-carbografite_92164660</t>
  </si>
  <si>
    <t>SAPATILHA PARA CABO DE AÇO 10 MM PESADA</t>
  </si>
  <si>
    <t>https://www.multiseg.com.br/3907/sapatilha-galvanizada-para-cabo-de-ao-3-8-10mm?gad_source=1&amp;gclid=CjwKCAjw9IayBhBJEiwAVuc3fr-GlONJfFUiSCq8oYjKIAAGYJJ2ZlQ8_x5uulpI947rPyJGakGybhoCzjEQAvD_BwE</t>
  </si>
  <si>
    <t>WURTH</t>
  </si>
  <si>
    <t>https://varejo.wurth.com.br/p/7491065/sapatilho-para-cabo-de-aco-10mm-embalagem-com-25-unidades-wurth-052209-525-kit?gad_source=1&amp;gclid=CjwKCAjw9IayBhBJEiwAVuc3fp1YJvBKh3rzrpP7VLVp3uyJP1IOsOTvx1GBOjOdCSL3Y0L_SMkwaxoC8fEQAvD_BwE#wrapper</t>
  </si>
  <si>
    <t>GRAMPOS PARA CABO DE AÇO 10 MM PESADO</t>
  </si>
  <si>
    <t>https://www.leroymerlin.com.br/clips-grampo-para-cabo-de-aco-3-8-9,5mm--10-unidades_1571204030</t>
  </si>
  <si>
    <t>https://www.upperseg.com.br/cerca-eletrica/acessorios/mais-acessorios-de-cerca/clips-abracadeira-para-cabo-de-aco-pacote-c-50-pecas/?gad_source=1&amp;gclid=CjwKCAjw9IayBhBJEiwAVuc3frgezON5GcUQkovB0Il9OjxE9v65ri1giNSsl1mcn0GhzXnzhhCSjhoC-0MQAvD_BwE</t>
  </si>
  <si>
    <t>https://www.ferramentaskennedy.com.br/100040202/grampo-tipo-clip-para-cabo-de-aco-3-8%E2%80%9D-10-pecas-acerosid?gad_source=1&amp;gclid=CjwKCAjw9IayBhBJEiwAVuc3fuqLNs9vzfeEprryh0loPS5QymD6r3R44HovQynAyy2J7nnJ5peyXBoCsK8QAvD_BwE</t>
  </si>
  <si>
    <t>ESTICADOR DE CABO</t>
  </si>
  <si>
    <t>https://www.leroymerlin.com.br/esticador-gancho-e-olhal-para-cabo-3-8-ate-100kg-aco-2-pecas_89300610</t>
  </si>
  <si>
    <t>https://www.ferramentaskennedy.com.br/100040799/esticador-cabo-aco-3-8%E2%80%9D-gancho-x-olhal-acerosid-5-pecas</t>
  </si>
  <si>
    <t>INDICADOR DE TENSÃO</t>
  </si>
  <si>
    <t>ABSORVEDOR DE ENERGIA/QUEDA</t>
  </si>
  <si>
    <t>SANTEC</t>
  </si>
  <si>
    <t>https://www.santeconline.com.br/esticador-para-cabo-de-aco-10mm-forjado-frati-05289?gad_source=1&amp;gclid=CjwKCAjw9IayBhBJEiwAVuc3fnCkBsKEhmWKF0RqsQ1jqdVliuUDL14eMVFfoast1kIdZQKPIqcTqhoCVJAQAvD_BwE</t>
  </si>
  <si>
    <t>https://www.spelaionloja.com/profissional/absorvedores-de-energia/asap-sorber-absorvedor-de-energia-petzl?variant_id=767</t>
  </si>
  <si>
    <t>PETZL</t>
  </si>
  <si>
    <t>https://www.copafer.com.br/caixa-5-entradas-condulete-top-36005319-tigre-p1108886</t>
  </si>
  <si>
    <t>CONDULETE FABRICADO EM PVC, MÚLTIPLAS ENTRADAS, DIMENSÃO 1", MODELO 5 ENTRADAS, COM TAMPA CEGA. REF.: CONDULETE TOP TIGRE</t>
  </si>
  <si>
    <t>https://www.pjneblina.com.br/produto/condulete-pvc-multiplo-tipo-x-5-entradas-34-1-polegadas-com-4-polegadas-sem-ved/5454982</t>
  </si>
  <si>
    <t>https://www.dimensional.com.br/conduletenaometalicomultiplopvcx121semroscacinzasemtampa5e36005319tigre/p?idsku=734175&amp;gad_source=1&amp;gclid=CjwKCAjw9IayBhBJEiwAVuc3fuGqvwxNB8r7lSQ46xMH8FudS1vun33ejRvjYAiwGr1X9PFqDmeu1xoCRroQAvD_BwE</t>
  </si>
  <si>
    <t>TAMPA DE ENCAIXE TIPO MOLA COM UM POSTO DE TOMADA 2P+T NBR (1X) PARA CANALETA DE PAREDE ED 114/2, DIMENSÕES (111X40MM), FABRICADA EM ALUMÍNIO EXTRUDADO COM PINTURA BRANCA, COM BLINDAGEM ELETROMAGNÉTICA. REF.: ENGEDUTO T114 NBR OU EQUIVALENTE TÉCNICO.</t>
  </si>
  <si>
    <t>GATEWAY COMUNICAÇÃO MODBUS TCP/XYE. REFERÊNCIA: MIDEA CCM18A</t>
  </si>
  <si>
    <t>PERFIL DE EMBUTIR RECUADO, FABRICADO EM ALUMÍNO NA COR BRANCA, 23W 1000LM 2700K. REFERÊNCIA: STELLA ARCHI STH20991BR/27 OU EQUIVALENTE TÉCNICO</t>
  </si>
  <si>
    <t>https://www.inspirehome.com.br/perfil-de-embutir-led-archi-recuado-linear-1-metro-alto-irc-93-2700k-23w-24v-aluminio-branco-stella-sth20991br-27/p?utm_source=google&amp;utm_medium=cpc&amp;utm_campaign=Pmax_Portofino&amp;gad_source=1&amp;gclid=CjwKCAjwl4yyBhAgEiwADSEjeEHLTLTkmGrtQ_BcqrMJml3FfzBG86uR-Kw7YhRjldIpi3UXd585sRoCT6IQAvD_BwE</t>
  </si>
  <si>
    <t>https://www.cialight.com.br/perfil-de-embutir-led-archi-recuado-1-metro-irc-93-2700k-23w-m-24v-branco-stella-sth20991br-27?utm_source=google&amp;utm_medium=Shopping&amp;utm_campaign=perfil-de-embutir-led-archi-recuado-1-metro-irc-93-2700k-23w-m-24v-branco-stella-sth20991br-27&amp;inStock&amp;gad_source=1&amp;gclid=CjwKCAjwl4yyBhAgEiwADSEjeKD-qE4UVLgwD3zfX0wfIQkPgh521Fmvq34VvPQJs0KeZKNkocybxRoCVgMQAvD_BwE#derivacao=8</t>
  </si>
  <si>
    <t>CIA LIGHT</t>
  </si>
  <si>
    <t>https://www.upperseg.com.br/cftv/acessorios/caixas-de-instalacao-e-conectores/caixa-de-passagem-metalica-ip66-para-cameras-vbox-5000-e-intelbras/?gad_source=1&amp;gclid=CjwKCAjwl4yyBhAgEiwADSEjeCLldWHXv96nJZ6yOudN8zhLYLnPct0ekeOT5ZgO8ajtD98_bITSEhoCFWQQAvD_BwE</t>
  </si>
  <si>
    <t>https://www.dimensional.com.br/1033503-caixa-de-passagem-aluminio-redondo-para-cameras-dome-e-bullet-uso-interno-externo-vbox5000e-intelbras/p?idsku=1033503&amp;gad_source=1&amp;gclid=CjwKCAjwl4yyBhAgEiwADSEjeBcpmSeBiMQZY1cssBYWOvtqm1qXPibvVwfZUpseJDZySd25uBqZ9BoCV1AQAvD_BwE</t>
  </si>
  <si>
    <t>CAIXA DE PASSAGEM PARA CÂMERAS DE CFTV REFERÊNCIA: INTELBRAS VBOX 5000 E</t>
  </si>
  <si>
    <t>https://www.tudoemtecnologia.com.br/caixa-de-passagem-para-cftv-vbox-5000-e-1?gad_source=1&amp;gclid=CjwKCAjwl4yyBhAgEiwADSEjeNDP_rJh5jeJt7jkD0Nb3AHMx7rrVzhaSoI97R9cA5tjbiVfsoUnNxoCDm8QAvD_BwE</t>
  </si>
  <si>
    <t>TUDO EM TECNOLOGIA</t>
  </si>
  <si>
    <t>https://www.novaexaustores.com.br/exaustores/exaustor-para-banheiro-mega-16-bivolt?parceiro=1604&amp;gad_source=1&amp;gclid=CjwKCAjwl4yyBhAgEiwADSEjeEmxifX_Z_rMqG9HBjuazbp2Bk3Uo6aygZ70NVO91eUkOprKCXoEPxoCrOUQAvD_BwE</t>
  </si>
  <si>
    <t>VENTILADOR VK-01 - 150 M3/H - SICFLUX MEGA 16</t>
  </si>
  <si>
    <t>https://www.leroymerlin.com.br/kit-exaustor-para-banheiro-mega-34-6-bivolt_1566953256</t>
  </si>
  <si>
    <t>CALÇO PARA VIBRAÇÃO "VI-01,02 E VE-01/01R"</t>
  </si>
  <si>
    <t>CAIXA DE EQUALIZAÇÃO DE POTENCIAIS, DIMENSÕES (210X210X90)MM, FABRICADA EM AÇO COM PINTURA ELETROLÍTICA NA COR CINZA, COM BARRAMENTO DE COBRE DE ESPESSURA 4,76MM, COM 9 FUROS PARA FIXAÇÃO DE TERMINAIS, NÍVEL DE PROTEÇÃO IP20, INDICADA PARA USO INTERNO. REF.: TERMOTÉCNICA OU EQUIVALENTE TÉCNICO.</t>
  </si>
  <si>
    <t>https://www.casafernandesonline.com.br/produto/caixa-de-equipotencializacao-20x20-embutir-c-9-terminais.html</t>
  </si>
  <si>
    <t>CASA FERNANDES</t>
  </si>
  <si>
    <t>https://www.lojaeletrica.com.br/caixa-equalizacao-terra-250x200x100-9t-tel901,product,2410203600415,dept,0.aspx</t>
  </si>
  <si>
    <t>https://www.multiseg.com.br/718/caixa-de-equalizao-equipotencializao-20-x-20-x-12-sobrepor-9-terminais</t>
  </si>
  <si>
    <t>CONECTOR MACHO GIRATÓRIO DE 1"</t>
  </si>
  <si>
    <t>https://www.dimensional.com.br/conector-reto-macho-giratorio-latao-sem-vedacao-rosca-bsp-2-1-2-p-sealtubo-indel-indel/p?idsku=201740&amp;gad_source=1&amp;gclid=CjwKCAjwupGyBhBBEiwA0UcqaDc5LH6DGGjSz4YeFFMBe_CcTr-6qCg-5nfgZrNB2onPJsCEGkclsBoCrZcQAvD_BwE</t>
  </si>
  <si>
    <t>CONECTOR MACHO GIRATÓRIO DE DIÂMETRO Ø2.1/2" FABRICADO EM ALUMÍNIO, PARA CONEXÃO COM SEALTUBO, ROSCA BSP.</t>
  </si>
  <si>
    <t>https://www.pjneblina.com.br/produto/conector-eletroduto-macho-reusavel-aluminio-212-polegadas-rosca-bsp-reto-fixo-i/5486345</t>
  </si>
  <si>
    <t>CONECTOR FÊMEA GIRATÓRIO DE DIÂMETRO Ø2.1/2" FABRICADO EM ALUMÍNIO, PARA CONEXÃO COM SEALTUBO, ROSCA BSP.</t>
  </si>
  <si>
    <t>https://www.santil.com.br/produto/conector-femea-giratorio-212-polegadas-latao-delcaflex/2897972</t>
  </si>
  <si>
    <t>COMERCIAL UNIVERSO</t>
  </si>
  <si>
    <t>https://www.comercialuniverso.com.br/produtos/conector-cffr-180-femea-fixo-2-1-2-decalflex/</t>
  </si>
  <si>
    <t>https://www.lojadopedrao.com.br/adaptador-de-transicao-tupy-grooved-bsp-2-1-2--76-5mm-131601136-tupy-42138/p?idsku=42138&amp;gad_source=1&amp;gclid=CjwKCAjwupGyBhBBEiwA0UcqaPMyFF-IqcML5uIbRiVfTUwa70YZqh9fn3lzWwNAAaVA3OGHBmk2LRoC6sYQAvD_BwE</t>
  </si>
  <si>
    <t>LOJA DO PEDRÃO</t>
  </si>
  <si>
    <t>https://www.eletrosul.com.br/materiais-eletricos/conectores/conector-macho-bsp-giratorio-para-duto-metalico-2-0</t>
  </si>
  <si>
    <t>CONECTOR MACHO GIRATÓRIO DE DIÂMETRO Ø2" FABRICADO EM ALUMÍNIO, PARA CONEXÃO COM SEALTUBO, ROSCA BSP.</t>
  </si>
  <si>
    <t>https://www.dimensional.com.br/conector-macho-giratorio-rosca-bsp-2-3341-abaflex/p?idsku=503386&amp;gad_source=1&amp;gclid=CjwKCAjwupGyBhBBEiwA0UcqaFgyrKRYouCiw0twa76e1JpW8ci2ER9zemAsca-KUKDeVzERj0dZ4xoCnoQQAvD_BwE</t>
  </si>
  <si>
    <t>https://www.anhangueraferramentas.com.br/produto/conector-macho-giratorio-2-para-conduite-aco-corrugado-kmzg-200-ekoflex-108705?gad_source=1&amp;gclid=CjwKCAjwupGyBhBBEiwA0UcqaFB5EoVefVFj43hx6QkuPDaJ25t73Qg7srZeJInkBqSjz4uBi5x8aRoCvgkQAvD_BwE</t>
  </si>
  <si>
    <t>https://www.santil.com.br/produto/condulete-multiplo-l-aluminio-2-polegada-com-tampa-cega-tramontina/1965247?gad_source=1&amp;gclid=CjwKCAjwupGyBhBBEiwA0UcqaHP2Qp2KFe76vYckWG5LLLb1T_eymnYVJJJVRIgWtGaCkBH6roRXgxoCTzsQAvD_BwE</t>
  </si>
  <si>
    <t>CONDULETE TIPO MÚLTIPLO, MODELO "L", FABRICADO EM LIGA DE ALUMÍNIO FUNDIDO, ACABAMENTO SEM PINTURA, DIMENSÃO (2"), COM ROSCA TIPO BSP CONFORME NORMA ABNT NBR 8133, COM TAMPA, ÍNDICE DE PROTEÇÃO IP31 (USO INTERNO).</t>
  </si>
  <si>
    <t>https://www.tramontina.com.br/condulete-multiplo-2%22-tramontina-tipo-l-com-tampa/56200016.html?gad_source=1&amp;gclid=CjwKCAjwupGyBhBBEiwA0UcqaKXyDZCNSFnQ3sfjgpgvktGPVZhzom1bdDhfhFCGDmGaAnoxb3FWzhoC1-cQAvD_BwE</t>
  </si>
  <si>
    <t>https://www.dimensional.com.br/condulete-metalico-multiplo-aluminio-x-2--com-tampa-sem-pintura-56200006-tramontinaeletrica/p?idsku=49217&amp;gad_source=1&amp;gclid=CjwKCAjwupGyBhBBEiwA0UcqaFToMGT6q9ol0lkJvJ-w9LzE1BUy0ZLdbaV3J24atWo77DLr4XW-GRoCdg4QAvD_BwE</t>
  </si>
  <si>
    <t>GRELHA DE INSUFLAMENTO DUPLA DEFLEXÃO COM REGISTRO 425 X 165MM</t>
  </si>
  <si>
    <t>MABIAR</t>
  </si>
  <si>
    <t>VENEZIANA INDEVASSÁVEL PARA PORTA 325 X 225MM</t>
  </si>
  <si>
    <t>GRELHA DE INSUFLAMENTO DUPLA DEFLEXÃO COM REGISTRO 425 X 125MM</t>
  </si>
  <si>
    <t>GRELHA DE RETORNO DUPLA DEFLEXÃO COM REGISTRO 1025 X 325MM</t>
  </si>
  <si>
    <t>GRELHA DE INSUFLAMENTO DUPLA DEFLEXÃO COM REGISTRO 225 X 125MM</t>
  </si>
  <si>
    <t>GRELHA DE INSUFLAMENTO DUPLA DEFLEXÃO COM REGISTRO 225 X 165MM</t>
  </si>
  <si>
    <t>GRELHA DE EXAUSTÃO 225 X 165MM</t>
  </si>
  <si>
    <t>DAMPER REGULADOR DE VAZÃO DE AR COM LÂMINAS OPOSTAS 400 X 200 X 140</t>
  </si>
  <si>
    <t>DAMPER REGULADOR DE VAZÃO DE AR COM LÂMINAS OPOSTAS 250 X 200 X 140</t>
  </si>
  <si>
    <t>DAMPER SOBRE PRESSÃO COM CARCAÇA E ALETAS 300 X 300 X 140</t>
  </si>
  <si>
    <t>DAMPER REGULADOR DE VAZÃO DE AR COM LÂMINAS OPOSTAS 500 X 350 X 140</t>
  </si>
  <si>
    <t>DAMPER REGULADOR DE VAZÃO DE AR COM LÂMINAS OPOSTAS 200 X 150 X 140</t>
  </si>
  <si>
    <t>VENEZIANA DE EXTERIOR 768 X 768MM ALETAS DE 55MM COM TELA VIVEIRO</t>
  </si>
  <si>
    <t>VENEZIANA DE EXTERIOR 785 X 330M COM TELA VIVEIRO</t>
  </si>
  <si>
    <t>PROPOSTA COMERCIAL Nº 432 DE 16/05/2024</t>
  </si>
  <si>
    <t>TROPICAL RIO</t>
  </si>
  <si>
    <t>PROPOSTA COMERCIAL Nº 4131 DE 15/05/2024</t>
  </si>
  <si>
    <t>PROP 009</t>
  </si>
  <si>
    <t>PROP 010</t>
  </si>
  <si>
    <t>PROP 011</t>
  </si>
  <si>
    <t>PROP 012</t>
  </si>
  <si>
    <t>PROP 013</t>
  </si>
  <si>
    <t>PROP 014</t>
  </si>
  <si>
    <t>PROP 015</t>
  </si>
  <si>
    <t>PROP 016</t>
  </si>
  <si>
    <t>PROP 017</t>
  </si>
  <si>
    <t>PROP 018</t>
  </si>
  <si>
    <t>PROP 019</t>
  </si>
  <si>
    <t>PROP 020</t>
  </si>
  <si>
    <t>PROP 021</t>
  </si>
  <si>
    <t>PROP 022</t>
  </si>
  <si>
    <t>PROP 023</t>
  </si>
  <si>
    <t>PROP 024</t>
  </si>
  <si>
    <t>PROP 025</t>
  </si>
  <si>
    <t>PROP 035</t>
  </si>
  <si>
    <t>PROP 036</t>
  </si>
  <si>
    <t>PROP 037</t>
  </si>
  <si>
    <t>PROP 038</t>
  </si>
  <si>
    <t>PROP 039</t>
  </si>
  <si>
    <t>PROP 040</t>
  </si>
  <si>
    <t>PROP 041</t>
  </si>
  <si>
    <t>PROP 042</t>
  </si>
  <si>
    <t>PROP 043</t>
  </si>
  <si>
    <t>PROP 045</t>
  </si>
  <si>
    <t>PROP 048</t>
  </si>
  <si>
    <t>03.571.738/0001-05</t>
  </si>
  <si>
    <t>13.670.587/0001-98</t>
  </si>
  <si>
    <t>https://www.dimensional.com.br/conector-reto-macho-giratorio-rosca-bsp-1-1-2-3340-abaflex/p</t>
  </si>
  <si>
    <t>CONECTOR MACHO GIRATÓRIO DE DIÂMETRO Ø1 1/2", FABRICADO EM ALUMÍNIO, PARA CONEXÃO COM SEALTUBO, ROSCA BSP.</t>
  </si>
  <si>
    <t>https://www.eletricabichuette.com.br/conector-macho-giratorio-para-sealtubo-1-12-polegada/p</t>
  </si>
  <si>
    <t>https://www.eletrotrafo.com.br/conector-p-seal-tubo-fixo-macho-cmr-p-sealflex-ip65---sptf/p</t>
  </si>
  <si>
    <t>https://www.amoedo.com.br/tomada-2p-t-dupla-10a-675062-nbr-sistema-x/p?idsku=1692099&amp;region_id=101021&amp;gad_source=1&amp;gclid=Cj0KCQjw3ZayBhDRARIsAPWzx8ov8iS7x1k-5gOQuVNe0vSSFWnSgfw0_63MXydO4r4Y_dK3GC_iPdEaAlIWEALw_wcB</t>
  </si>
  <si>
    <t>TAMPA DE ENCAIXE TIPO MOLA COM DOIS POSTOS TOMADAS 2P+T NBR (2X) PARA CANALETA DE PAREDE ED 114/2, DIMENSÕES (111X40MM), FABRICADA EM ALUMÍNIO EXTRUDADO COM PINTURA BRANCA, COM BLINDAGEM ELETROMAGNÉTICA. REFERÊNCIA: ENGEDUTO T114/2 NBR2 OU EQUIVALENTE TÉCNICO.</t>
  </si>
  <si>
    <t>76.881.093/0001-72</t>
  </si>
  <si>
    <t>TROX (ADOTADO FRETE DA COMPARCO SP)</t>
  </si>
  <si>
    <t xml:space="preserve">37.518.643/0001-31 </t>
  </si>
  <si>
    <t>05.879.152/0009-87</t>
  </si>
  <si>
    <t xml:space="preserve"> 17.666.002/0001-17</t>
  </si>
  <si>
    <t>10.490.181/0001-35</t>
  </si>
  <si>
    <t>33.131.923/0001-31</t>
  </si>
  <si>
    <t>15.746.477/0001-98</t>
  </si>
  <si>
    <t>48.925.348/0001-16</t>
  </si>
  <si>
    <t>78.650.330/0001-10</t>
  </si>
  <si>
    <t xml:space="preserve">35.796.477/0001-00 </t>
  </si>
  <si>
    <t>61.505.400/0001-43</t>
  </si>
  <si>
    <t>23.241.578/0001-35</t>
  </si>
  <si>
    <t>02.080.427/0001-72</t>
  </si>
  <si>
    <t>30.818.931/0001-62</t>
  </si>
  <si>
    <t>60717899/0001-90</t>
  </si>
  <si>
    <t>46.508.413/0001-82</t>
  </si>
  <si>
    <t xml:space="preserve"> 22.355.551/0001-00</t>
  </si>
  <si>
    <t>19.547.810/0001-90</t>
  </si>
  <si>
    <t>CADMO FERRAMENTAS</t>
  </si>
  <si>
    <t>26.848.138/0001-39</t>
  </si>
  <si>
    <t>25.044.196/0001-47</t>
  </si>
  <si>
    <t>09.146.882/0001-72</t>
  </si>
  <si>
    <t>01.421.359/0001-03</t>
  </si>
  <si>
    <t>45.543.915/0846-95</t>
  </si>
  <si>
    <t xml:space="preserve">76.842.285/0001-70 </t>
  </si>
  <si>
    <t>08.858.579/0015-35</t>
  </si>
  <si>
    <t xml:space="preserve">10.498.304/0001-84 </t>
  </si>
  <si>
    <t>43.648.971/0049-08</t>
  </si>
  <si>
    <t xml:space="preserve"> 51.322.782/0001-16 </t>
  </si>
  <si>
    <t>07.730.155/0001-22</t>
  </si>
  <si>
    <t xml:space="preserve"> YAMAMOTTO  </t>
  </si>
  <si>
    <t xml:space="preserve">ELETRÔNICA SANTANA          </t>
  </si>
  <si>
    <r>
      <t xml:space="preserve">  UPEERSEG             </t>
    </r>
    <r>
      <rPr>
        <i/>
        <u/>
        <sz val="10"/>
        <rFont val="Calibri"/>
        <family val="2"/>
        <scheme val="minor"/>
      </rPr>
      <t xml:space="preserve">  </t>
    </r>
  </si>
  <si>
    <t xml:space="preserve">COPAFER   </t>
  </si>
  <si>
    <t>COT 002</t>
  </si>
  <si>
    <t>COT 003</t>
  </si>
  <si>
    <t>COT 018</t>
  </si>
  <si>
    <t>COT 019</t>
  </si>
  <si>
    <t>COT 048</t>
  </si>
  <si>
    <t>COT 049</t>
  </si>
  <si>
    <t>COT 050</t>
  </si>
  <si>
    <t>COT 051</t>
  </si>
  <si>
    <t>COT  042</t>
  </si>
  <si>
    <t>COT 013</t>
  </si>
  <si>
    <t>COT 014</t>
  </si>
  <si>
    <t>COT  043</t>
  </si>
  <si>
    <t>COT 034</t>
  </si>
  <si>
    <t>COT 033</t>
  </si>
  <si>
    <t>COT 091</t>
  </si>
  <si>
    <t>COT 024</t>
  </si>
  <si>
    <t>COT 026</t>
  </si>
  <si>
    <t>COT 030</t>
  </si>
  <si>
    <t>COT 032</t>
  </si>
  <si>
    <t>COT 035</t>
  </si>
  <si>
    <t>COT 036</t>
  </si>
  <si>
    <t>COT 037</t>
  </si>
  <si>
    <t>COT 053</t>
  </si>
  <si>
    <t>COT 040</t>
  </si>
  <si>
    <t>COT 041</t>
  </si>
  <si>
    <t>COT 073</t>
  </si>
  <si>
    <t>COT 074</t>
  </si>
  <si>
    <t>COT 065</t>
  </si>
  <si>
    <t>COT 079</t>
  </si>
  <si>
    <t>COT 078</t>
  </si>
  <si>
    <t>COT 058</t>
  </si>
  <si>
    <t>COT 085</t>
  </si>
  <si>
    <t>COT 044</t>
  </si>
  <si>
    <t>COT 045</t>
  </si>
  <si>
    <t>COT 054</t>
  </si>
  <si>
    <t>COT 114</t>
  </si>
  <si>
    <t>COT 127</t>
  </si>
  <si>
    <t>COT 128</t>
  </si>
  <si>
    <t>COT 129</t>
  </si>
  <si>
    <t>COT 130</t>
  </si>
  <si>
    <t>COT 046</t>
  </si>
  <si>
    <t>COT 047</t>
  </si>
  <si>
    <t>COT 052</t>
  </si>
  <si>
    <t>COT 057</t>
  </si>
  <si>
    <t>COT 059</t>
  </si>
  <si>
    <t>COT 062</t>
  </si>
  <si>
    <t>COT 063</t>
  </si>
  <si>
    <t>COT 064</t>
  </si>
  <si>
    <t>COT 104</t>
  </si>
  <si>
    <t>COT 089</t>
  </si>
  <si>
    <t>COT 077</t>
  </si>
  <si>
    <t>COT 084</t>
  </si>
  <si>
    <t>COT 088</t>
  </si>
  <si>
    <t>COT 090</t>
  </si>
  <si>
    <t>COT 105</t>
  </si>
  <si>
    <t>COT 106</t>
  </si>
  <si>
    <t>COT 107</t>
  </si>
  <si>
    <t>COT 108</t>
  </si>
  <si>
    <t>COT 109</t>
  </si>
  <si>
    <t>COT 112</t>
  </si>
  <si>
    <t>COT 120</t>
  </si>
  <si>
    <t>COT 122</t>
  </si>
  <si>
    <t>COT 126</t>
  </si>
  <si>
    <t>AMPOLA PARA CHUMBADOR QUÍMICO 1/2" 12MM</t>
  </si>
  <si>
    <t>COT 125</t>
  </si>
  <si>
    <t>COT 131</t>
  </si>
  <si>
    <t>COT 132</t>
  </si>
  <si>
    <t>COT 124</t>
  </si>
  <si>
    <t>COT 031</t>
  </si>
  <si>
    <t>COT  025</t>
  </si>
  <si>
    <t>COT 028</t>
  </si>
  <si>
    <t>COT 029</t>
  </si>
  <si>
    <t>COT 055</t>
  </si>
  <si>
    <t>COT 027</t>
  </si>
  <si>
    <t>VENTILADOR VI-01 - 4500 M3/H - MODELO BBF 450 DA BERLINERLUFT OU SIMILAR</t>
  </si>
  <si>
    <t>VENTILADOR VI-02 - 4500 M3/H - MODELO BBF 450 DA BERLINERLUFT OU SIMILAR</t>
  </si>
  <si>
    <t>VENTILADOR VE-01/01R - 1500 M3/H - MODELO BBT 200 DA BERLINERLUFT OU SIMILAR</t>
  </si>
  <si>
    <t>COT 001</t>
  </si>
  <si>
    <t>PERFIL DE EMBUTIR 36MMX5500MM EM ALUMINIO COM LED 20W 3000K PRETO</t>
  </si>
  <si>
    <t>PERFIL DE EMBUTIR 24MMX1000MM EM ALUMINIO COM LED 20W 3000K BRANCO</t>
  </si>
  <si>
    <t>PERFIL PENDENTE COM DUAS FONTES DE LUZ EM ALUMINIO EXTRADUTADO 50X1000</t>
  </si>
  <si>
    <t>LUMINÁRIA TIPO PAINEL DE EMBUTIR EM ALUMINIO E DIFUSOR OPALINO BRANCO 688X185</t>
  </si>
  <si>
    <t>LUMINÁRIA TIPO PAINEL DE EMBUTIR EM ALUMINIO E DIFUSOR OPALINO BRANCO 370X370</t>
  </si>
  <si>
    <t>LUMINÁRIA DE EMBUTIR QUADRADA 60X60 PARA FORRO DE GESSO</t>
  </si>
  <si>
    <t>COT 005</t>
  </si>
  <si>
    <t>COT 006</t>
  </si>
  <si>
    <t>COT 007</t>
  </si>
  <si>
    <t>COT 008</t>
  </si>
  <si>
    <t>COT 009</t>
  </si>
  <si>
    <t>COT 010</t>
  </si>
  <si>
    <t>CANALETA 53X15X2000MM BRANCA ALUMÍNIO COM TAMPA</t>
  </si>
  <si>
    <t>COT 080</t>
  </si>
  <si>
    <t>COT 081</t>
  </si>
  <si>
    <t>COT 071</t>
  </si>
  <si>
    <t>COT 016</t>
  </si>
  <si>
    <t>COT 017</t>
  </si>
  <si>
    <t>COT 082</t>
  </si>
  <si>
    <t>COT 020</t>
  </si>
  <si>
    <t>COT 022</t>
  </si>
  <si>
    <t>COT 023</t>
  </si>
  <si>
    <t>COT 095</t>
  </si>
  <si>
    <t>COT 099</t>
  </si>
  <si>
    <t>COT 011</t>
  </si>
  <si>
    <t>COT 012</t>
  </si>
  <si>
    <t>COT 021</t>
  </si>
  <si>
    <t>LUMINÁRIA TIPO SPOT DE EMBUTIR RECUADO DIRECIONÁVEL FABRICADO EM ALUMÍNIO NA COR PRETA, REFERÊNCIA STELLA SQUARE AR70 STH8930PTO. MONTADA COM LÂMPADA AR70 12° 4,8W 300LM 2700K, REFERÊNCIA STELLA AR70 ECO 12°, STH8433/27 OU SIMILAR</t>
  </si>
  <si>
    <t>LUMINÁRIA TIPO PAINEL LED DE EMBUTIR RECUADO FABRICADO EM POLICARBONATO NA COR BRANCA, 30W 2300LM 4000K. REFERÊNCIA: STELLA DEEP 30W, STH8905BR/40 OU SIMILAR.</t>
  </si>
  <si>
    <t xml:space="preserve">LUMINÁRIA TIPO PAINEL LED DE EMBUTIR RECUADO FABRICADO EM POLICARBONATO NA COR BRANCA, 24W 1700LM 4000K. REFERÊNCIA: STELLA DEEP 24W, STH8904BR/40 OU SIMILAR. </t>
  </si>
  <si>
    <t>SPOT DE EMBUTIR RECUADO DIRECIONÁVEL, FABRICADO EM ALUMÍNIO NA COR PRETA, REFERÊNCIA STELLA SQUARE AR70 STH8930PTO OU EQUIVALENTE TÉCNICO. MONTADA COM LÂMPADA AR70 24° 4,8W 300LM 2700K, REFERÊNCIA STELLA AR70 ECO 24°, STH8434/27 OU EQUIVALENTE TÉCNICO</t>
  </si>
  <si>
    <t xml:space="preserve">LUMINÁRIA TIPO SPOT PARA TRILHO FABRICADO EM ALUMÍNIO NA COR PRETA, REFERÊNCIA STELLA FLOW AR111 SD1980PTO. MONTADA COM LÂMPADA AR111 24° 12W 950LM 2700K, REFERÊNCIA STELLA AR111 ECO 24°, STH8444/27 OU SIMILAR </t>
  </si>
  <si>
    <t>COT 092</t>
  </si>
  <si>
    <t>LUMINÁRIA TIPO PLAFON DE SOBREPOR RECUADO DIRECIONÁVEL FABRICADO EM ALUMÍNIO NA COR PRETA,REFERÊNCIA STELLA SQUARE AR111 STH8935PTO. MONTADA COM LÂMPADA AR111 24° 12W 950LM 2700K, REFERÊNCIA: STELLA AR111 ECO 24°, STH8444/27 OU SIMILAR</t>
  </si>
  <si>
    <t>LUMINÁRIA TIPO PLAFON DE SOBREPOR EM ALUMÍNIO E DIFUSOR OPALINO, NA COR BRANCO, 460X460MM, CÓD 40082IN, LINHA SOBREPOR LL, DA NEWLINE OU SIMILAR, COM SEIS LÂMPADAS E27 BULBO LED 12W  BRANCO NEUTRO, DA ELGIN OU SIMILAR</t>
  </si>
  <si>
    <t>COT 094</t>
  </si>
  <si>
    <t>CHAVE DE FLUXO TIPO PALETA PARA FLUIDOS GASOSOS TOTALMENTE ENCAPSULADO NA/NF MICRO-SWITCH</t>
  </si>
  <si>
    <t xml:space="preserve">LOJA ELÉTRICA  </t>
  </si>
  <si>
    <t>LUMICENTER</t>
  </si>
  <si>
    <t>32.087.991/0001-88</t>
  </si>
  <si>
    <t>EVERLIGHT</t>
  </si>
  <si>
    <t>LUMINACRIL</t>
  </si>
  <si>
    <t xml:space="preserve"> 03.625.155/0001-01</t>
  </si>
  <si>
    <t>65.097.073/0001-99</t>
  </si>
  <si>
    <t>SOUSA COUTO MONTAGEM</t>
  </si>
  <si>
    <t>26.700.159/0001-0</t>
  </si>
  <si>
    <t>VR ENERGIA</t>
  </si>
  <si>
    <t>11.257.155/0001-24</t>
  </si>
  <si>
    <t>No Break Conception S1 CM Comandos Trifásico 20kVA Entrada 220V Saída 220V
60Hz</t>
  </si>
  <si>
    <t>ENGETRON</t>
  </si>
  <si>
    <t>CM COMANDOS</t>
  </si>
  <si>
    <t>52.898.194/0001-98</t>
  </si>
  <si>
    <t>19.267.632/0001-44</t>
  </si>
  <si>
    <t>SISTEMA KNX</t>
  </si>
  <si>
    <t>PAINEL DE AUTOMAÇÃO QAUT-6PAV CONFORME DIAGRAMA DE INTERLIGAÇÕES DES-P07-PE-AUT-603-143-N06-901 E CADERNO DE ENCARGOS RET-P07-PE-AUT-607-143-N06-905</t>
  </si>
  <si>
    <t>PAINEL ELÉTRICO DE SOBREPOR QDT-N-LE -  CONFORME: DIAGRAMA TRIFILAR - DES-P07-PE-ELE-000-143-N06-902.R01 E CADERNO DE ENCARGOS -RET-P07-PE-ELE-000-143-000-901.R01</t>
  </si>
  <si>
    <t>PAINEL ELÉTRICO DE SOBREPOR QDT-N-LD -  CONFORME: DIAGRAMA TRIFILAR - DES-P07-PE-ELE-000-143-N06-902.R01 E CADERNO DE ENCARGOS -RET-P07-PE-ELE-000-143-000-901.R01</t>
  </si>
  <si>
    <t>PAINEL ELÉTRICO DE SOBREPOR QDF-N-6P -  CONFORME: DIAGRAMA TRIFILAR - DES-P07-PE-ELE-000-143-N06-902.R01 E CADERNO DE ENCARGOS -RET-P07-PE-ELE-000-143-000-901.R01</t>
  </si>
  <si>
    <t>PAINEL ELÉTRICO DE SOBREPOR QDF-E-6P -  CONFORME: DIAGRAMA TRIFILAR - DES-P07-PE-ELE-000-143-N06-902.R01 E CADERNO DE ENCARGOS -RET-P07-PE-ELE-000-143-000-901.R01</t>
  </si>
  <si>
    <t>PAINEL ELÉTRICO DE SOBREPOR QDL-EM-6P -  CONFORME: DIAGRAMA TRIFILAR - DES-P07-PE-ELE-000-143-N06-902.R01 E CADERNO DE ENCARGOS -RET-P07-PE-ELE-000-143-000-901.R01</t>
  </si>
  <si>
    <t>PAINEL ELÉTRICO DE SOBREPOR QGNB -  CONFORME: DIAGRAMA TRIFILAR - DES-P07-PE-ELE-000-143-N06-902.R01 E CADERNO DE ENCARGOS -RET-P07-PE-ELE-000-143-000-901.R01</t>
  </si>
  <si>
    <t>PAINEL ELÉTRICO DE SOBREPOR QDNB-6P -  CONFORME: DIAGRAMA TRIFILAR - DES-P07-PE-ELE-000-143-N06-902.R01 E CADERNO DE ENCARGOS -RET-P07-PE-ELE-000-143-000-901.R01</t>
  </si>
  <si>
    <t>PAINEL ELÉTRICO DE SOBREPOR QDF-HVAC-6P -  CONFORME: DIAGRAMA TRIFILAR - DES-P07-PE-ELE-000-143-N06-104.R01 E CADERNO DE ENCARGOS -RET-P07-PE-ELE-000-143-000-901.R01</t>
  </si>
  <si>
    <t>PAINEL ELÉTRICO QDF-UC (PROVISÓRIO) 380V : QUADRO ELETRICO AUTOPORTANTE, TTA, IP 54, FORMA CONSTRUTIVA 2B, 380V, 3F+N+T, 160A -35KA, COMPOSTO POR: DPS CLASSE II -40KA,, MULTIMEDIDOR DE GRANDEZAS ELETRICAS, SINALIZAÇÃO DE FASE, CONFORME DESENHO: E143A100</t>
  </si>
  <si>
    <t>ENGEDUTO</t>
  </si>
  <si>
    <t>27.045.921/0001-27</t>
  </si>
  <si>
    <t>vendas@engeduto.com.br</t>
  </si>
  <si>
    <t>16.922.033/0001-29</t>
  </si>
  <si>
    <t>PROP 050</t>
  </si>
  <si>
    <t>PROP 051</t>
  </si>
  <si>
    <t>PROP 001</t>
  </si>
  <si>
    <t>PROP 002</t>
  </si>
  <si>
    <t>10.948.651/0001-61</t>
  </si>
  <si>
    <t>SPRINGER CARRIER</t>
  </si>
  <si>
    <t>PROP COMERCIAL Nº 01836-BAR-001/00</t>
  </si>
  <si>
    <t>UNIDADE CONDENSADORA  UC-01 - VRF - 25000 M3/H. FORNECIMENTO</t>
  </si>
  <si>
    <t>UNIDADE CONDENSADORA DE UC-02 - MINI VRF - 2800 M3/H. FORNECIMENTO</t>
  </si>
  <si>
    <t>FORNECIMENTO DE UE-01 - BUILT IN - 4,5 TR</t>
  </si>
  <si>
    <t>PROP 060</t>
  </si>
  <si>
    <t>PROP 061</t>
  </si>
  <si>
    <t>FORNECIMENTO DE UE-02 - PISO TETO - 4,5 TR</t>
  </si>
  <si>
    <t>PROP 062</t>
  </si>
  <si>
    <t>FORNECIMENTO  DE UE-03 - HI-WALL - 2 TR</t>
  </si>
  <si>
    <t>PROP 063</t>
  </si>
  <si>
    <t>FORNECIMENTO DE UE-04 - HI-WALL - 1 TR</t>
  </si>
  <si>
    <t>PROP 064</t>
  </si>
  <si>
    <t>FORNECIMENTO DE UE-05 - HI-WALL - 0,75 TR</t>
  </si>
  <si>
    <t>PROP 065</t>
  </si>
  <si>
    <t>FORNECIMENTO DE UE-06/06R - HI-WALL - 1,7 TR</t>
  </si>
  <si>
    <t>PROP 066</t>
  </si>
  <si>
    <t>FORNECIMENTO DE UE-07 - HI-WALL - 2,5 TR</t>
  </si>
  <si>
    <t>PROP 067</t>
  </si>
  <si>
    <t>FORNECIMENTO  UE-08 - PISO TETO - 3,0 TR</t>
  </si>
  <si>
    <t>PROP 068</t>
  </si>
  <si>
    <t>FORNECIMENTO DE CONTROLE REMOTO</t>
  </si>
  <si>
    <t>https://www.otobel.com.br/dnpkyc0ow-sistema-de-ventilacao-otobel</t>
  </si>
  <si>
    <t>OTOBEL</t>
  </si>
  <si>
    <t>https://gtepis.mercadoshops.com.br/MLB-2846274861-calco-borracha-p-anti-vibraco-100x100x25mm-vibra-stop-6-und-_JM?gad_source=4&amp;gbraid=0AAAAApoprKIRKkgaXk9sig2vxN1Cln6iY&amp;gclid=CjwKCAjw8IfABhBXEiwAxRHlsPS1OQl5K-dlwi82y0WAeLm6tyVBXlkG9JkiYBMoLH54J4ME62W6mhoCQeIQAvD_BwE</t>
  </si>
  <si>
    <t>GTEPIS</t>
  </si>
  <si>
    <t>38.661.176/0001-67</t>
  </si>
  <si>
    <t>DRA DA BORRACHA</t>
  </si>
  <si>
    <t>42.698.040/0001-07</t>
  </si>
  <si>
    <t>https://www.dradaborracha.com.br/product-page/cal%C3%A7o-borracha-vibra-stop-200x200x50mm-7000kg</t>
  </si>
  <si>
    <t>HIDROVEDA</t>
  </si>
  <si>
    <t>https://hidroveda.com.br/produtos/gateway-wireless-novus-airgate-modbus-din/?srsltid=AfmBOoooPPnDe15JA7sEMPhk_pKrrnK3oPqnueCeOHskz6qouC53ahHc6fM</t>
  </si>
  <si>
    <t>37.177.375/0001-31</t>
  </si>
  <si>
    <t>RHMATERIAIS ELÉTRICOS</t>
  </si>
  <si>
    <t>https://www.rhmateriaiseletricos.com.br/gateway-wireless-airgater-modbus-8816041310?variation=9567016&amp;srsltid=AfmBOooBDRmgWYNOTFDyvrog1mCMzZXKQPgYkgyLDGyyFKu_jHWkV1Itu4k</t>
  </si>
  <si>
    <t>https://www.cimm.com.br/portal/produtos/exibir/42572-airgate-modbus-gateway-wireless-modbus#</t>
  </si>
  <si>
    <t>CIMMM</t>
  </si>
  <si>
    <t>14.142.123/0001-71</t>
  </si>
  <si>
    <t>https://www.dimensional.com.br/nobreak-s220v-20kva-15min-c-bat-e3sups20kfb-schneider/p?idsku=1281304&amp;srsltid=AfmBOopXXGJXZzjlOG2lJuhANPdvz1_tet26fxQElar1l4QTywbi5fvEVrE</t>
  </si>
  <si>
    <t>PORTA FOLHA A4 EM ACRILICO</t>
  </si>
  <si>
    <t>https://www.americanas.com.br/produto/55349405/display-em-acrilico-cristal-porta-folheto-a4-horizontal?offerId=5c8810c4f216c95bde29bf77&amp;opn=YSMESP&amp;srsltid=AfmBOoroR8tSHWPLHq5TnkpdKzpFyBBH3TZ3kh7pVafUZjHJHkUE3N4WSK4</t>
  </si>
  <si>
    <t>https://www.kalunga.com.br/prod/quadro-de-aviso-office-a4-frontal-10090013-maxcril-pt-1-un/632881?cq_src=google_ads&amp;cq_cmp=17062280850&amp;cq_con=&amp;cq_term=&amp;cq_med=pla&amp;cq_plac=&amp;cq_net=x&amp;cq_pos=&amp;cq_plt=gp&amp;pcID=3901&amp;gad_source=4&amp;gclid=CjwKCAiAh6y9BhBREiwApBLHCyjZn4614urKWR5e4-KUciJvrG8CTwq_h4Kig1c1gx_jybCwpxJHAhoCho0QAvD_BwE</t>
  </si>
  <si>
    <t>MEUACRILICO</t>
  </si>
  <si>
    <t>https://www.meuacrilico.com.br/display/a4-vertical/disply-acrilico-de-parede-a4-vertical?parceiro=2119&amp;gad_source=4&amp;gclid=CjwKCAiAh6y9BhBREiwApBLHC0wuYFWoXVGF_225eL8b9kAZFLXy-06gHa7o4Wl3DcbGZFO6laYJSxoCnv0QAvD_BwE</t>
  </si>
  <si>
    <t>COT 087</t>
  </si>
  <si>
    <t>43.283.811/0001-50</t>
  </si>
  <si>
    <t>43.768.187/0001-80</t>
  </si>
  <si>
    <t>KALUNGA</t>
  </si>
  <si>
    <t xml:space="preserve">TRAMONTINA </t>
  </si>
  <si>
    <t>https://www.tramontina.com.br/adaptador-para-condulete-multiplo-1%22-tramontina/56251053.html?srsltid=AfmBOor38OXA6iqADLBBCwQCT-W-O6Zuti7KGumwHrTOTb843TReDjKf</t>
  </si>
  <si>
    <t>MAQPART</t>
  </si>
  <si>
    <t>Conector Para Condulete Multipla 1.1/2 | MAQPART</t>
  </si>
  <si>
    <t>https://loja.jmc.com.br/material-eletrico/conectores/conector-macho-girstorio-2-12-polegada-cmzg?parceiro=3891&amp;srsltid=AfmBOooRdIYLKfImJmYmr2jNZ2esLU856lPlN9Qvk4w-K-t57uH74DJc5Lc</t>
  </si>
  <si>
    <t>JMC</t>
  </si>
  <si>
    <t>43.350.099/0001-64</t>
  </si>
  <si>
    <t>https://www.ferramentaskennedy.com.br/conector-box-1-reto-pvc-cinza-inpol/p?idsku=37102&amp;utm_source=google&amp;utm_medium=cpc&amp;utm_campaign=21841842392&amp;kwd=&amp;matchtype=&amp;adset_id=&amp;device=c&amp;gad_source=1&amp;gad_campaignid=21845779903&amp;gbraid=0AAAAADyLiV-2E1yjCJWy1rfBg5nvmBGCM&amp;gclid=EAIaIQobChMIyevk-LWyjQMVCVRIAB2D_zmjEAQYASABEgLqy_D_BwE</t>
  </si>
  <si>
    <t>https://www.espacodaeletrica.com.br/infraestrutura/conduletes/linha-cinza/inpol-condul-conector-box-reto-cinza-12?variant_id=93</t>
  </si>
  <si>
    <t>ESPAÇO DA ELETRICA</t>
  </si>
  <si>
    <t>BASE COMPOSIÇÃO</t>
  </si>
  <si>
    <t>NA</t>
  </si>
  <si>
    <t>EMBASA / M101500050</t>
  </si>
  <si>
    <t>SBC 036451</t>
  </si>
  <si>
    <t>SINAPI 39176</t>
  </si>
  <si>
    <t>SINAPI 39179</t>
  </si>
  <si>
    <t>COT 015</t>
  </si>
  <si>
    <t>COT 025</t>
  </si>
  <si>
    <t>01.438.784/0048-6</t>
  </si>
  <si>
    <t>https://www.leroymerlin.com.br/papel-de-parede-vinilizado-linho-cinza-10x0,52m-bobinex_92135904?store_code=7&amp;gad_source=1&amp;gad_campaignid=18197119631&amp;gbraid=0AAAAADkzLZ4eiWGGsOZu3R2dcbdBY8GEQ&amp;gclid=CjwKCAjw87XBBhBIEiwAxP3_A-Eohj9EaUO8lsntW1ZbXxpDgLvYSmpBowswEXjwhjM16bNinsUmDBoCItUQAvD_BwE</t>
  </si>
  <si>
    <t>SBC                   021114</t>
  </si>
  <si>
    <t>https://lojashidromar.com.br/product/191227/details?srsltid=AfmBOopqmgbAIdbLJQjYzDXl0yhdPmLcQmX4I47zkDiwdjZDgOEheem_j00</t>
  </si>
  <si>
    <t> 01.501.125/0001-68</t>
  </si>
  <si>
    <t>HIDROMAR</t>
  </si>
  <si>
    <t>SBC                    072256</t>
  </si>
  <si>
    <t>https://www.reidosfp.com.br/cordao-optico-duplex-lc-upc-x-sc-apc-2mm-x-5m-monomodo</t>
  </si>
  <si>
    <t xml:space="preserve">CPOS P.10.000.042523	</t>
  </si>
  <si>
    <t>ORSE                      8206</t>
  </si>
  <si>
    <t xml:space="preserve">	SBC                 074113</t>
  </si>
  <si>
    <t>SCO 	MAT039450</t>
  </si>
  <si>
    <t>SINAPI                 43836</t>
  </si>
  <si>
    <t>LOJA DA ELÉTRICA</t>
  </si>
  <si>
    <t xml:space="preserve"> 17.155.342/0011-55</t>
  </si>
  <si>
    <t>https://www.lojaeletrica.com.br/canaleta-aluminio-simples-branco-53x15-2-metros-com-tampa-dx-10040.html</t>
  </si>
  <si>
    <t>https://www.loja.shcomp.com.br/canaleta-aluminio-53x15x2000mm-branco-dutotec?srsltid=AfmBOorfxqHnIs24hVNX_AnHTERJPEgbjHV30weaqu3QYyDmvKHpTMHn</t>
  </si>
  <si>
    <t>12.036.797/0001-66</t>
  </si>
  <si>
    <t>SH COMP</t>
  </si>
  <si>
    <t>SBC                 	041898</t>
  </si>
  <si>
    <t>EMBASA 	M100904017</t>
  </si>
  <si>
    <t>LOJA NIPO</t>
  </si>
  <si>
    <t>https://lojanipo.com.br/produtos/detalhes/1804/voice-panel-50-portas-wt-2052-seccon-pc/?gad_source=1&amp;gad_campaignid=22492218183&amp;gbraid=0AAAAA_bsTsSUEOvrEKcBMcxDhzDFSz_Jl&amp;gclid=CjwKCAjw87XBBhBIEiwAxP3_A4v7b-tvEfKxkdzCqhpX4zUzhEaGyEEzN71JdMdYSk53yqe_q_EoOxoC_eQQAvD_BwE</t>
  </si>
  <si>
    <t>11.442.016/0001-70</t>
  </si>
  <si>
    <t>26.926.967/0001-92</t>
  </si>
  <si>
    <t>D&amp;E INSTALAÇÕES</t>
  </si>
  <si>
    <t>https://www.deeinstalacoes.com.br/botoeira-acionador-de-abertura-inox-embutir-4x2-bt-5000-in-intelbras?utm_source=Site&amp;utm_medium=GoogleMerchant&amp;utm_campaign=GoogleMerchant&amp;srsltid=AfmBOooX6anE06QA1VCvYH-bEMuHwiqpAkPhzjbwmNI_EKeDvns6BdOIMek</t>
  </si>
  <si>
    <t>SBC                  074116</t>
  </si>
  <si>
    <t>SBC                 	203047</t>
  </si>
  <si>
    <t>SBC                       1387</t>
  </si>
  <si>
    <t>SBC                  	001413</t>
  </si>
  <si>
    <t>COT 038</t>
  </si>
  <si>
    <t>17.155.342/0011-55</t>
  </si>
  <si>
    <t>https://www.lojaeletrica.com.br/tomada-sistema-x-2-sec-o-2-polos-terra-10a-250v-pial-675062-legrand.html?srsltid=AfmBOoqBrt68XvM0NKwUBVaCPaUxzuuDCY_E5WC_3Blx1x-igyzmctHC</t>
  </si>
  <si>
    <t>COT 039</t>
  </si>
  <si>
    <t>https://www.versustec.com.br/controle-de-acesso/controladora-de-acesso-ip-porta-kantech-tyco-kt-1?srsltid=AfmBOoqfSvq_iGeGXglHy-TgkHpFGkzt2P8gv-uUKXTNVJtMoun5g-Bh</t>
  </si>
  <si>
    <t>VERSUS TEC</t>
  </si>
  <si>
    <t>49.689.959/0001-75</t>
  </si>
  <si>
    <t>COT 042</t>
  </si>
  <si>
    <t>COT 043</t>
  </si>
  <si>
    <t>SBC                     7190</t>
  </si>
  <si>
    <t>CC CABOS</t>
  </si>
  <si>
    <t>Cabo Comando e Controle 2x1mm² Blindado - Preto</t>
  </si>
  <si>
    <t>36.199.332/0001-94</t>
  </si>
  <si>
    <t>TECNOFLUID</t>
  </si>
  <si>
    <t>COT 056</t>
  </si>
  <si>
    <t>SBC                 025005</t>
  </si>
  <si>
    <t xml:space="preserve">	SBC                   006404</t>
  </si>
  <si>
    <t>SINAPI                 7581</t>
  </si>
  <si>
    <t>SINAPI                41950</t>
  </si>
  <si>
    <t>SINAPI               41948</t>
  </si>
  <si>
    <t>SAFE</t>
  </si>
  <si>
    <t>https://loja.safeprotection.com.br/acessorios/indicador-de-tensao-dully-dlt-001</t>
  </si>
  <si>
    <t>33.736.146/0001-59</t>
  </si>
  <si>
    <t>https://www.lojanerea.com.br/asap-sorber-axess-absorvedor-de-energia-petzl-para-seguranca-em-altura-p1012?gad_source=1&amp;gad_campaignid=21883393858&amp;gbraid=0AAAAA-J4Npl24KzDqUXaQZspqgEqiSuRi&amp;gclid=Cj0KCQjwlrvBBhDnARIsAHEQgORM6zY2UdtzlFMJ2gE_UMKaCjvS3SS-Kj0t3YcddvT5XSdpfAF27SAaAq2kEALw_wcB</t>
  </si>
  <si>
    <t>07.891.920/0001-96</t>
  </si>
  <si>
    <t>NEREA</t>
  </si>
  <si>
    <t>https://www.amazon.com.br/Asap-Sorber-Axess-Absorvedor-Energia/dp/B07YLD84J7/ref=asc_df_B07YLD84J7?mcid=a8621d45fcc63ee1be329464d2d52843&amp;tag=googleshopp00-20&amp;linkCode=df0&amp;hvadid=709964762384&amp;hvpos=&amp;hvnetw=g&amp;hvrand=8959776780000485339&amp;hvpone=&amp;hvptwo=&amp;hvqmt=&amp;hvdev=c&amp;hvdvcmdl=&amp;hvlocint=&amp;hvlocphy=9198023&amp;hvtargid=pla-845245852305&amp;psc=1&amp;language=pt_BR&amp;gad_source=4</t>
  </si>
  <si>
    <t>AMAZON</t>
  </si>
  <si>
    <t>15.436.940/0001-03</t>
  </si>
  <si>
    <t>CORDEIROS</t>
  </si>
  <si>
    <t>45.687.128/0001-03</t>
  </si>
  <si>
    <t>Proposta 385</t>
  </si>
  <si>
    <t>VERBEK</t>
  </si>
  <si>
    <t>https://produto.mercadolivre.com.br/MLB-4002244593-indicador-de-tenso-para-cabo-aco-linha-de-vida-horizontal-_JM</t>
  </si>
  <si>
    <t>LUMINACRIL PROPOSTA 506708</t>
  </si>
  <si>
    <t>LUMICENTER 533893</t>
  </si>
  <si>
    <t>SEMAPRO - NÃO FORNECEDER VOLUME PARA CALCULAR FRETE ANTES DO PRODUTO FABRICADO</t>
  </si>
  <si>
    <t>BERNELIR LUFT</t>
  </si>
  <si>
    <t>03.593.705/0001-58</t>
  </si>
  <si>
    <t>PROPOSTA 11684/25-0</t>
  </si>
  <si>
    <t>D&amp;M DIVISÓRIAS</t>
  </si>
  <si>
    <t>PROPOSTA PDM 165/2025</t>
  </si>
  <si>
    <t>DIV DESING - AGUARDANDO COTATAÇÃO</t>
  </si>
  <si>
    <t>PROPOSTA- 49094 QDF-HVAC-6P</t>
  </si>
  <si>
    <t>PROPOSTA - 49095 QDTN-6P-LE</t>
  </si>
  <si>
    <t>PORPOSTA - 49096 QDTN-6P-LD</t>
  </si>
  <si>
    <t>PROPOSTA - 49097 QDLE-6P</t>
  </si>
  <si>
    <t>PROPOSTA - 49098 QDFN-6P</t>
  </si>
  <si>
    <t>PROPOSTA - 49099 QDFE-6P</t>
  </si>
  <si>
    <t>PROPOSTA - 49100 QGNB-6P</t>
  </si>
  <si>
    <t>PROPOSTA -49101 QDNB-6P</t>
  </si>
  <si>
    <t>PROPOSTA - 49114 QDF-UC</t>
  </si>
  <si>
    <t>PROPOSTA COMERCIAL  Nº 4087</t>
  </si>
  <si>
    <t xml:space="preserve">PROPOSTA COMERCIAL Nº 4087 </t>
  </si>
  <si>
    <t>PROPOSTA COMERCIAL Nº 4087</t>
  </si>
  <si>
    <t>CÓDIGO ANTIGO  ARQHOS</t>
  </si>
  <si>
    <t>CÓDIGO NOVO FIOCRUZ</t>
  </si>
  <si>
    <t>Proposta 0298656</t>
  </si>
  <si>
    <t>Proposta 41.380.0</t>
  </si>
  <si>
    <t>AMPHER</t>
  </si>
  <si>
    <t>Proposta   0031755rev01</t>
  </si>
  <si>
    <t>CMC</t>
  </si>
  <si>
    <t>32.641.478/0001-97</t>
  </si>
  <si>
    <t>PROPOSTA N°3.765</t>
  </si>
  <si>
    <t>PROPOSTA VR9688-R0-08-24 REV02</t>
  </si>
  <si>
    <t>PROPOSTA Nº 393</t>
  </si>
  <si>
    <t>PROPOSTA PS20250521001-S</t>
  </si>
  <si>
    <t>TOTAL AUTOMAÇÃO</t>
  </si>
  <si>
    <t xml:space="preserve">PROPOSTA COMERCIAL Nº 4287 </t>
  </si>
  <si>
    <t>PROPOSTA COMERCIAL Nº 4131 DE 25/05/2025</t>
  </si>
  <si>
    <t>ORÇAMENTO 58088 REV 1 DE 23/05/2025</t>
  </si>
  <si>
    <t>TROX (ADOTADO FRETE DA MABIAR)</t>
  </si>
  <si>
    <t>Declinou para elaboração desse quadro</t>
  </si>
  <si>
    <t>PROPOSTA 22767</t>
  </si>
  <si>
    <t>INTERFLEXDIVISÓRIAS</t>
  </si>
  <si>
    <t>03.379.480/0001-31</t>
  </si>
  <si>
    <t>PROPOSTA Nº: PTO-21692-25R0</t>
  </si>
  <si>
    <t>PROPOSTA Nº 56753 25/05/2025</t>
  </si>
  <si>
    <t>44.068.714/0001-07</t>
  </si>
  <si>
    <t>INTELBRAS</t>
  </si>
  <si>
    <t>https://www.amazon.com.br/Sensor-Magn%C3%A9tico-Porta-Mini-INTELBRAS/dp/B08BJGLKRG/ref=asc_df_B08BJGLKRG?mcid=d9be9c6afb6639f0aeac37d69c38e2c8&amp;tag=googleshopp00-20&amp;linkCode=df0&amp;hvadid=709968341026&amp;hvpos=&amp;hvnetw=g&amp;hvrand=18395886002001956296&amp;hvpone=&amp;hvptwo=&amp;hvqmt=&amp;hvdev=c&amp;hvdvcmdl=&amp;hvlocint=&amp;hvlocphy=9198023&amp;hvtargid=pla-2013260939963&amp;psc=1&amp;language=pt_BR&amp;gad_source=1</t>
  </si>
  <si>
    <t>82.901.000/0001-27</t>
  </si>
  <si>
    <t>SÃO GERALDO</t>
  </si>
  <si>
    <t>01.034.396/0001-50.</t>
  </si>
  <si>
    <t>https://www.saogeraldo.com/valvula-de-mictorio-horizontal-com-fechamento-automatico-decamatic-eco-cromado/p?idsku=218&amp;gad_source=1&amp;gad_campaignid=17428267865&amp;gbraid=0AAAAAoKVHIwHWgIq7NXdjf7ve79CHPCgw&amp;gclid=Cj0KCQjwmK_CBhCEARIsAMKwcD67OdFi98Fe7V_kyPf7x5im0vJgBE9RYEa9Mi4W7D0kLzX1in4R-X8aAlYwEALw_wcB</t>
  </si>
  <si>
    <t>ABC CONSTRUÇÃO</t>
  </si>
  <si>
    <t xml:space="preserve"> 38.542.718/0052-22. </t>
  </si>
  <si>
    <t>https://www.abcdaconstrucao.com.br/produto/valvula-para-mictorio-horizontal-com-fechamento-automatico-decamatic-eco-cromado-deca-82427?keyword=&amp;creative=&amp;gad_source=1&amp;gad_campaignid=22490608527&amp;gbraid=0AAAAADi3r1EdfxZq5l2Q2OwUSgBUEb2M-&amp;gclid=Cj0KCQjwmK_CBhCEARIsAMKwcD4OYvcxRJFJ8PDwWd4qkZJufgmq_ybi5ezVq5SaJ27lzYMCwmKx7XEaAkKkEALw_wcB</t>
  </si>
  <si>
    <t>COT 021A</t>
  </si>
  <si>
    <t>SBC 071626</t>
  </si>
  <si>
    <t>SBC 061459</t>
  </si>
  <si>
    <t>MATED-34411</t>
  </si>
  <si>
    <t>SETOP MATED-34410</t>
  </si>
  <si>
    <t>PROPOSTA 51961-AT-2408-49157 - DATA 29/05/2025 OPÇÃO INTERFACE DE PULSADOR KNX 2-GANG PLUS</t>
  </si>
  <si>
    <t>CNPJ 58.619.404/0008-14,</t>
  </si>
  <si>
    <t>CONVERGINT</t>
  </si>
  <si>
    <t>COT 055B</t>
  </si>
  <si>
    <t>SBC               017929</t>
  </si>
  <si>
    <t>Advance Wireless &amp; Telecon</t>
  </si>
  <si>
    <t>https://www.magazineluiza.com.br/distribuidor-interno-optico-2-fdio-48-apc-2flex/p/kh88h38fd6/in/diop/?&amp;seller_id=advancewirelesstelecon&amp;utm_source=google&amp;utm_medium=cpc&amp;utm_term=79707&amp;utm_campaign=google_eco_per_ven_pla_tc_sor_3p_in&amp;utm_content=&amp;partner_id=79707&amp;gclsrc=aw.ds&amp;gad_source=1&amp;gad_campaignid=22554833223&amp;gbraid=0AAAAAD4zZmRmghaIy5p-I3YKVL4Sj5Fdx&amp;gclid=CjwKCAjwmenCBhA4EiwAtVjzmoJhTEuG4S62kHcBBLZQSc-EgjTa_QCscc-BIKMwF4EVJpyzwsJM_hoCBFIQAvD_BwE</t>
  </si>
  <si>
    <t>FIBERFIX</t>
  </si>
  <si>
    <t>https://www.fiberfix.com.br/dio-48fo-completo-conector-sc-apc-2flex-759-1?srsltid=AfmBOorFUncCSM3Qr-4BmZuWke80tbFKEK2QBs9-wFQ0p4Zdjz4KrREc</t>
  </si>
  <si>
    <t>23.655.598/0001-52</t>
  </si>
  <si>
    <t>37.536.712/0001-30</t>
  </si>
  <si>
    <t>COT 053A</t>
  </si>
  <si>
    <t>17.676.697/0001-18</t>
  </si>
  <si>
    <t>Orç_2025-761_Fundação_Oswaldo_Cruz</t>
  </si>
  <si>
    <t>24.077.784/0001-14</t>
  </si>
  <si>
    <t>64.788.334/0001-54</t>
  </si>
  <si>
    <t xml:space="preserve">DIVISÓRIA INTERNA MÓVEL ARTICULADA ACÚSTICA, e=90mm, COM INTERIOR EM MANTA DE LÃ DE ROCHA, LÃ DE VIDRO, LÃ DE PET, CHAPA DE GESSO ACARTONADO E CHAPA DE AÇO MINIMIZADO, CONTRAPLACADOS COM CHAPAS DE MDF 15mm DE CADA LADO, REVESTIDO EM LAMINADO MELAMÍNICO NA COR PRATTAN TX DA FÓRMICA OU SIMILAR, LINHA ARTICOLATO, DA ATUALLE OU SIMILAR. FORNECIMENTO E COLOCAÇÃO </t>
  </si>
  <si>
    <t>COT 16</t>
  </si>
  <si>
    <t>COT 009A</t>
  </si>
  <si>
    <t xml:space="preserve">AMPHER </t>
  </si>
  <si>
    <t>COT 016A</t>
  </si>
  <si>
    <t>DIAMENTE DO LED</t>
  </si>
  <si>
    <t>https://www.diamantedoled.com.br/produtos/perfil-de-embutir-led-archi-recuado-linear-1-metro-irc-93-2700k-23w-m-24v-aluminio-branco/?variant=1227835163&amp;pf=mc&amp;gad_source=1&amp;gad_campaignid=22607615426&amp;gbraid=0AAAAA-L-QLYDb7yPTQ4ynipnw9TrXgS1P&amp;gclid=CjwKCAjwmenCBhA4EiwAtVjzmvwvWRK_oAs1egR1uObcQDXq64CtkmXcwEGY_cSXvBET2bC-0TvNrBoCawEQAvD_BwE</t>
  </si>
  <si>
    <t xml:space="preserve"> 54.949.299/0001-54</t>
  </si>
  <si>
    <t>GRUPO TORQUARTO</t>
  </si>
  <si>
    <t>PROPOSTA 46124</t>
  </si>
  <si>
    <t>10.634.753/0001-02</t>
  </si>
  <si>
    <t>COT 040A</t>
  </si>
  <si>
    <t>https://www.loja.abecom.com.br/calcos-calibrados-para-alinhamento-skf-tmas-75-100?parceiro=8355&amp;srsltid=AfmBOor5uDNp14xz8r5kAPBTo4p8eqMzhZiFUWnwfrSXAI4rvuyLeM5B2w4</t>
  </si>
  <si>
    <t>ABECOM</t>
  </si>
  <si>
    <t>61.478.897/0001-58</t>
  </si>
  <si>
    <t>FIO SHOPPING</t>
  </si>
  <si>
    <t>https://www.frioshopping.com/exaustores/exaustores-compactos/linha-mega/exaustor-para-banheiro-megakit-16-bivolt?variant_id=969</t>
  </si>
  <si>
    <t>56.954.748/0001-88</t>
  </si>
  <si>
    <t>SOL DIGITAL</t>
  </si>
  <si>
    <t>13.174.371/0001-31 </t>
  </si>
  <si>
    <t>PROP COMERCIAL Nº  04178-BAR-05848/00</t>
  </si>
  <si>
    <t xml:space="preserve">33.781.055/0001-35 </t>
  </si>
  <si>
    <t>Proposta 4787</t>
  </si>
  <si>
    <t>DIVISÓRIA INTERNA EM VIDRO e=90mm COM MONTANTES EM ALUMÍNIO COM PINTURA ELETROSTÁTICA NA COR PRETO, LINHA SINGOLO, DA ATUALLE OU SIMILAR, FORNECIMENTO E COLOCAÇÃO</t>
  </si>
  <si>
    <t>ATUALLE</t>
  </si>
  <si>
    <t>LINHA S90 - PORTA DE GIRO 01 FOLHA PISO / TETO. ACABAMENTO EM  ALUMÍNIO COM MOLDURA DE 100 MM. VIDRO ÚNICO INCOLOR 6 MM. B121 CAIXILHO EM ALUMÍNIO, ESCOVAS E BORRACHAS DE VEDAÇÃO,  DOBRADIÇAS TRIPLA EM ALUMINIO COM ANEL DE NYLON, COM  FECHADURA EXTERNA, ROSETE E MAÇANETA, BATEDOR MAGNETICO  DE PISO. LINHA SINGOLO, DA ATUALLE OU SIMILAR, FORNECIMENTO E COLOCAÇÃO</t>
  </si>
  <si>
    <t>PROP 051A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</si>
</sst>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164" formatCode="&quot;R$&quot;\ #,##0.00"/>
    <numFmt numFmtId="165" formatCode="0.0"/>
    <numFmt numFmtId="166" formatCode="&quot;R$&quot;\ #,##0.0000"/>
  </numFmts>
  <fonts count="25" x14ac:knownFonts="1">
    <font>
      <sz val="10"/>
      <name val="Arial"/>
    </font>
    <font>
      <sz val="11"/>
      <color theme="1"/>
      <name val="Calibri"/>
      <family val="2"/>
      <scheme val="minor"/>
    </font>
    <font>
      <sz val="10"/>
      <name val="Arial"/>
      <family val="2"/>
    </font>
    <font>
      <u/>
      <sz val="20"/>
      <color indexed="12"/>
      <name val="Arial"/>
      <family val="2"/>
    </font>
    <font>
      <sz val="10"/>
      <name val="Calibri"/>
      <family val="2"/>
      <scheme val="minor"/>
    </font>
    <font>
      <b/>
      <sz val="10"/>
      <color theme="0"/>
      <name val="Calibri"/>
      <family val="2"/>
      <scheme val="minor"/>
    </font>
    <font>
      <b/>
      <sz val="10"/>
      <name val="Calibri"/>
      <family val="2"/>
      <scheme val="minor"/>
    </font>
    <font>
      <u/>
      <sz val="10"/>
      <color indexed="12"/>
      <name val="Calibri"/>
      <family val="2"/>
      <scheme val="minor"/>
    </font>
    <font>
      <sz val="10"/>
      <color rgb="FF212529"/>
      <name val="Calibri"/>
      <family val="2"/>
      <scheme val="minor"/>
    </font>
    <font>
      <sz val="10"/>
      <color rgb="FF363435"/>
      <name val="Calibri"/>
      <family val="2"/>
      <scheme val="minor"/>
    </font>
    <font>
      <sz val="8"/>
      <name val="Arial"/>
      <family val="2"/>
    </font>
    <font>
      <sz val="8"/>
      <name val="Arial"/>
      <family val="2"/>
    </font>
    <font>
      <i/>
      <u/>
      <sz val="10"/>
      <name val="Calibri"/>
      <family val="2"/>
      <scheme val="minor"/>
    </font>
    <font>
      <b/>
      <sz val="10"/>
      <color rgb="FFFF0000"/>
      <name val="Calibri"/>
      <family val="2"/>
      <scheme val="minor"/>
    </font>
    <font>
      <sz val="14"/>
      <name val="Calibri"/>
      <family val="2"/>
      <scheme val="minor"/>
    </font>
    <font>
      <b/>
      <sz val="14"/>
      <color rgb="FFFF0000"/>
      <name val="Calibri"/>
      <family val="2"/>
      <scheme val="minor"/>
    </font>
    <font>
      <b/>
      <sz val="14"/>
      <color theme="0"/>
      <name val="Calibri"/>
      <family val="2"/>
      <scheme val="minor"/>
    </font>
    <font>
      <b/>
      <sz val="14"/>
      <name val="Calibri"/>
      <family val="2"/>
      <scheme val="minor"/>
    </font>
    <font>
      <u/>
      <sz val="10"/>
      <color indexed="12"/>
      <name val="Arial"/>
      <family val="2"/>
    </font>
    <font>
      <sz val="10"/>
      <color rgb="FFFF0000"/>
      <name val="Calibri"/>
      <family val="2"/>
      <scheme val="minor"/>
    </font>
    <font>
      <sz val="10"/>
      <color theme="1"/>
      <name val="Calibri"/>
      <family val="2"/>
      <scheme val="minor"/>
    </font>
    <font>
      <b/>
      <sz val="10"/>
      <color theme="1"/>
      <name val="Calibri"/>
      <family val="2"/>
      <scheme val="minor"/>
    </font>
    <font>
      <sz val="10"/>
      <name val="Arial"/>
      <family val="2"/>
    </font>
    <font>
      <u/>
      <sz val="10"/>
      <name val="Calibri"/>
      <family val="2"/>
      <scheme val="minor"/>
    </font>
    <font>
      <u/>
      <sz val="10"/>
      <name val="Arial"/>
      <family val="2"/>
    </font>
  </fonts>
  <fills count="14">
    <fill>
      <patternFill patternType="none"/>
    </fill>
    <fill>
      <patternFill patternType="gray125"/>
    </fill>
    <fill>
      <patternFill patternType="solid">
        <fgColor theme="6" tint="-0.249977111117893"/>
        <bgColor indexed="64"/>
      </patternFill>
    </fill>
    <fill>
      <patternFill patternType="solid">
        <fgColor theme="5" tint="-0.249977111117893"/>
        <bgColor indexed="64"/>
      </patternFill>
    </fill>
    <fill>
      <patternFill patternType="solid">
        <fgColor theme="6" tint="-0.499984740745262"/>
        <bgColor indexed="64"/>
      </patternFill>
    </fill>
    <fill>
      <patternFill patternType="solid">
        <fgColor theme="4" tint="0.39997558519241921"/>
        <bgColor indexed="64"/>
      </patternFill>
    </fill>
    <fill>
      <patternFill patternType="solid">
        <fgColor theme="3" tint="-0.499984740745262"/>
        <bgColor indexed="64"/>
      </patternFill>
    </fill>
    <fill>
      <patternFill patternType="solid">
        <fgColor theme="1"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2" tint="-9.9978637043366805E-2"/>
        <bgColor indexed="64"/>
      </patternFill>
    </fill>
  </fills>
  <borders count="40">
    <border>
      <left/>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medium">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bottom style="medium">
        <color indexed="64"/>
      </bottom>
      <diagonal/>
    </border>
    <border>
      <left style="thin">
        <color indexed="64"/>
      </left>
      <right style="thin">
        <color indexed="64"/>
      </right>
      <top style="double">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s>
  <cellStyleXfs count="9">
    <xf numFmtId="0" fontId="0" fillId="0" borderId="0"/>
    <xf numFmtId="9" fontId="2" fillId="0" borderId="0" applyFont="0" applyFill="0" applyBorder="0" applyAlignment="0" applyProtection="0"/>
    <xf numFmtId="0" fontId="3" fillId="0" borderId="0" applyNumberFormat="0" applyFill="0" applyBorder="0" applyAlignment="0" applyProtection="0">
      <alignment vertical="top"/>
      <protection locked="0"/>
    </xf>
    <xf numFmtId="44" fontId="2" fillId="0" borderId="0" applyFont="0" applyFill="0" applyBorder="0" applyAlignment="0" applyProtection="0"/>
    <xf numFmtId="0" fontId="2" fillId="0" borderId="0"/>
    <xf numFmtId="0" fontId="3" fillId="0" borderId="0" applyNumberFormat="0" applyFill="0" applyBorder="0" applyAlignment="0" applyProtection="0">
      <alignment vertical="top"/>
      <protection locked="0"/>
    </xf>
    <xf numFmtId="0" fontId="1" fillId="0" borderId="0"/>
    <xf numFmtId="9" fontId="2" fillId="0" borderId="0" applyFont="0" applyFill="0" applyBorder="0" applyAlignment="0" applyProtection="0"/>
    <xf numFmtId="44" fontId="22" fillId="0" borderId="0" applyFont="0" applyFill="0" applyBorder="0" applyAlignment="0" applyProtection="0"/>
  </cellStyleXfs>
  <cellXfs count="264">
    <xf numFmtId="0" fontId="0" fillId="0" borderId="0" xfId="0"/>
    <xf numFmtId="0" fontId="4" fillId="0" borderId="0" xfId="0" applyFont="1"/>
    <xf numFmtId="0" fontId="4" fillId="0" borderId="0" xfId="0" applyFont="1" applyAlignment="1">
      <alignment vertical="center"/>
    </xf>
    <xf numFmtId="0" fontId="4" fillId="0" borderId="0" xfId="0" applyFont="1" applyAlignment="1">
      <alignment vertical="center" wrapText="1"/>
    </xf>
    <xf numFmtId="0" fontId="4" fillId="0" borderId="1" xfId="0" applyFont="1" applyBorder="1"/>
    <xf numFmtId="0" fontId="4" fillId="0" borderId="4" xfId="0" applyFont="1" applyBorder="1"/>
    <xf numFmtId="0" fontId="6" fillId="0" borderId="4" xfId="0" applyFont="1" applyBorder="1" applyAlignment="1">
      <alignment horizontal="center" vertical="center" wrapText="1"/>
    </xf>
    <xf numFmtId="0" fontId="5" fillId="2" borderId="9" xfId="0" applyFont="1" applyFill="1" applyBorder="1" applyAlignment="1">
      <alignment horizontal="center" vertical="center" wrapText="1"/>
    </xf>
    <xf numFmtId="0" fontId="4" fillId="0" borderId="21" xfId="0" applyFont="1" applyBorder="1" applyAlignment="1">
      <alignment horizontal="left" vertical="center"/>
    </xf>
    <xf numFmtId="0" fontId="4" fillId="0" borderId="16" xfId="0" applyFont="1" applyBorder="1" applyAlignment="1">
      <alignment horizontal="center" vertical="center"/>
    </xf>
    <xf numFmtId="0" fontId="4" fillId="0" borderId="18" xfId="0" applyFont="1" applyBorder="1" applyAlignment="1">
      <alignment horizontal="left" vertical="center"/>
    </xf>
    <xf numFmtId="0" fontId="4" fillId="0" borderId="18" xfId="0" applyFont="1" applyBorder="1" applyAlignment="1">
      <alignment horizontal="center" vertical="center"/>
    </xf>
    <xf numFmtId="0" fontId="7" fillId="0" borderId="18" xfId="2" applyFont="1" applyFill="1" applyBorder="1" applyAlignment="1" applyProtection="1">
      <alignment horizontal="center" vertical="center" wrapText="1"/>
    </xf>
    <xf numFmtId="9" fontId="4" fillId="0" borderId="0" xfId="1" applyFont="1"/>
    <xf numFmtId="0" fontId="4" fillId="0" borderId="22" xfId="0" applyFont="1" applyBorder="1" applyAlignment="1">
      <alignment horizontal="left" vertical="center"/>
    </xf>
    <xf numFmtId="0" fontId="4" fillId="0" borderId="22" xfId="0" applyFont="1" applyBorder="1" applyAlignment="1">
      <alignment horizontal="center" vertical="center"/>
    </xf>
    <xf numFmtId="0" fontId="7" fillId="0" borderId="22" xfId="2" applyFont="1" applyFill="1" applyBorder="1" applyAlignment="1" applyProtection="1">
      <alignment horizontal="center" vertical="center" wrapText="1"/>
    </xf>
    <xf numFmtId="0" fontId="4" fillId="0" borderId="12"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164" fontId="4" fillId="0" borderId="18" xfId="3" applyNumberFormat="1" applyFont="1" applyFill="1" applyBorder="1" applyAlignment="1">
      <alignment horizontal="center" vertical="center"/>
    </xf>
    <xf numFmtId="164" fontId="4" fillId="0" borderId="21" xfId="3" applyNumberFormat="1" applyFont="1" applyFill="1" applyBorder="1" applyAlignment="1">
      <alignment horizontal="center" vertical="center"/>
    </xf>
    <xf numFmtId="0" fontId="7" fillId="0" borderId="21" xfId="2" applyFont="1" applyBorder="1" applyAlignment="1" applyProtection="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164" fontId="5" fillId="2" borderId="9" xfId="0" applyNumberFormat="1" applyFont="1" applyFill="1" applyBorder="1" applyAlignment="1">
      <alignment horizontal="center" wrapText="1"/>
    </xf>
    <xf numFmtId="164" fontId="5" fillId="2" borderId="9" xfId="0" applyNumberFormat="1" applyFont="1" applyFill="1" applyBorder="1" applyAlignment="1">
      <alignment horizontal="center" vertical="center" wrapText="1"/>
    </xf>
    <xf numFmtId="164" fontId="5" fillId="3" borderId="10" xfId="0" applyNumberFormat="1" applyFont="1" applyFill="1" applyBorder="1" applyAlignment="1">
      <alignment horizontal="center" vertical="center" wrapText="1"/>
    </xf>
    <xf numFmtId="164" fontId="5" fillId="4" borderId="11" xfId="0" applyNumberFormat="1" applyFont="1" applyFill="1" applyBorder="1" applyAlignment="1">
      <alignment horizontal="center" vertical="center" wrapText="1"/>
    </xf>
    <xf numFmtId="164" fontId="5" fillId="4" borderId="12" xfId="0" applyNumberFormat="1" applyFont="1" applyFill="1" applyBorder="1" applyAlignment="1">
      <alignment horizontal="center" vertical="center" wrapText="1"/>
    </xf>
    <xf numFmtId="164" fontId="5" fillId="7" borderId="15" xfId="0" applyNumberFormat="1" applyFont="1" applyFill="1" applyBorder="1" applyAlignment="1">
      <alignment horizontal="center" vertical="center" wrapText="1"/>
    </xf>
    <xf numFmtId="0" fontId="4" fillId="0" borderId="21" xfId="0" applyFont="1" applyBorder="1" applyAlignment="1">
      <alignment vertical="center"/>
    </xf>
    <xf numFmtId="0" fontId="4" fillId="0" borderId="21" xfId="0" applyFont="1" applyBorder="1"/>
    <xf numFmtId="164" fontId="4" fillId="0" borderId="21" xfId="0" applyNumberFormat="1" applyFont="1" applyBorder="1" applyAlignment="1">
      <alignment horizontal="center" vertical="center" wrapText="1"/>
    </xf>
    <xf numFmtId="0" fontId="8" fillId="0" borderId="18" xfId="0" applyFont="1" applyBorder="1" applyAlignment="1">
      <alignment vertical="center"/>
    </xf>
    <xf numFmtId="164" fontId="4" fillId="0" borderId="18" xfId="0" applyNumberFormat="1" applyFont="1" applyBorder="1" applyAlignment="1">
      <alignment horizontal="center" vertical="center"/>
    </xf>
    <xf numFmtId="164" fontId="4" fillId="0" borderId="18" xfId="0" applyNumberFormat="1" applyFont="1" applyBorder="1" applyAlignment="1">
      <alignment horizontal="center" vertical="center" wrapText="1"/>
    </xf>
    <xf numFmtId="0" fontId="9" fillId="0" borderId="22" xfId="0" applyFont="1" applyBorder="1" applyAlignment="1">
      <alignment vertical="center"/>
    </xf>
    <xf numFmtId="164" fontId="4" fillId="0" borderId="22" xfId="3" applyNumberFormat="1" applyFont="1" applyFill="1" applyBorder="1" applyAlignment="1">
      <alignment horizontal="center" vertical="center"/>
    </xf>
    <xf numFmtId="164" fontId="4" fillId="0" borderId="22" xfId="0" applyNumberFormat="1" applyFont="1" applyBorder="1" applyAlignment="1">
      <alignment vertical="center"/>
    </xf>
    <xf numFmtId="164" fontId="4" fillId="0" borderId="22" xfId="0" applyNumberFormat="1" applyFont="1" applyBorder="1" applyAlignment="1">
      <alignment horizontal="center" vertical="center" wrapText="1"/>
    </xf>
    <xf numFmtId="0" fontId="4" fillId="0" borderId="0" xfId="0" applyFont="1" applyAlignment="1">
      <alignment horizontal="center" vertical="center" wrapText="1"/>
    </xf>
    <xf numFmtId="0" fontId="5" fillId="2" borderId="12" xfId="0" applyFont="1" applyFill="1" applyBorder="1" applyAlignment="1">
      <alignment horizontal="center" vertical="center"/>
    </xf>
    <xf numFmtId="0" fontId="5" fillId="2" borderId="12" xfId="0" applyFont="1" applyFill="1" applyBorder="1" applyAlignment="1">
      <alignment horizontal="center" vertical="center" wrapText="1"/>
    </xf>
    <xf numFmtId="164" fontId="5" fillId="2" borderId="12" xfId="0" applyNumberFormat="1" applyFont="1" applyFill="1" applyBorder="1" applyAlignment="1">
      <alignment horizontal="center" wrapText="1"/>
    </xf>
    <xf numFmtId="164" fontId="5" fillId="2" borderId="12" xfId="0" applyNumberFormat="1" applyFont="1" applyFill="1" applyBorder="1" applyAlignment="1">
      <alignment horizontal="center" vertical="center" wrapText="1"/>
    </xf>
    <xf numFmtId="164" fontId="5" fillId="3" borderId="30" xfId="0" applyNumberFormat="1" applyFont="1" applyFill="1" applyBorder="1" applyAlignment="1">
      <alignment horizontal="center" vertical="center" wrapText="1"/>
    </xf>
    <xf numFmtId="164" fontId="5" fillId="6" borderId="12" xfId="0" applyNumberFormat="1" applyFont="1" applyFill="1" applyBorder="1" applyAlignment="1">
      <alignment horizontal="center" wrapText="1"/>
    </xf>
    <xf numFmtId="164" fontId="5" fillId="7" borderId="19" xfId="0" applyNumberFormat="1" applyFont="1" applyFill="1" applyBorder="1" applyAlignment="1">
      <alignment horizontal="center" vertical="center" wrapText="1"/>
    </xf>
    <xf numFmtId="0" fontId="4" fillId="0" borderId="0" xfId="0" applyFont="1" applyAlignment="1">
      <alignment horizontal="left" indent="1"/>
    </xf>
    <xf numFmtId="0" fontId="6" fillId="0" borderId="4" xfId="0" applyFont="1" applyBorder="1" applyAlignment="1">
      <alignment horizontal="left" indent="1"/>
    </xf>
    <xf numFmtId="0" fontId="5" fillId="2" borderId="12" xfId="0" applyFont="1" applyFill="1" applyBorder="1" applyAlignment="1">
      <alignment horizontal="left" vertical="center" indent="1"/>
    </xf>
    <xf numFmtId="0" fontId="14" fillId="0" borderId="0" xfId="0" applyFont="1" applyAlignment="1">
      <alignment vertical="center" wrapText="1"/>
    </xf>
    <xf numFmtId="165" fontId="4" fillId="0" borderId="16" xfId="0" applyNumberFormat="1" applyFont="1" applyBorder="1" applyAlignment="1">
      <alignment vertical="center"/>
    </xf>
    <xf numFmtId="1" fontId="4" fillId="0" borderId="12" xfId="0" applyNumberFormat="1" applyFont="1" applyBorder="1" applyAlignment="1">
      <alignment horizontal="center" vertical="center"/>
    </xf>
    <xf numFmtId="165" fontId="4" fillId="0" borderId="20" xfId="0" applyNumberFormat="1" applyFont="1" applyBorder="1" applyAlignment="1">
      <alignment vertical="center"/>
    </xf>
    <xf numFmtId="0" fontId="15" fillId="0" borderId="0" xfId="0" applyFont="1" applyAlignment="1">
      <alignment horizontal="left" vertical="center" indent="1"/>
    </xf>
    <xf numFmtId="0" fontId="7" fillId="0" borderId="0" xfId="2" applyFont="1" applyAlignment="1" applyProtection="1">
      <alignment horizontal="center" vertical="center" wrapText="1"/>
    </xf>
    <xf numFmtId="0" fontId="4" fillId="0" borderId="16" xfId="0" applyFont="1" applyBorder="1" applyAlignment="1">
      <alignment vertical="center"/>
    </xf>
    <xf numFmtId="0" fontId="4" fillId="0" borderId="18" xfId="0" applyFont="1" applyBorder="1" applyAlignment="1">
      <alignment vertical="center"/>
    </xf>
    <xf numFmtId="0" fontId="7" fillId="0" borderId="21" xfId="2" applyFont="1" applyBorder="1" applyAlignment="1" applyProtection="1">
      <alignment vertical="center"/>
    </xf>
    <xf numFmtId="0" fontId="7" fillId="0" borderId="18" xfId="2" applyFont="1" applyFill="1" applyBorder="1" applyAlignment="1" applyProtection="1">
      <alignment vertical="center" wrapText="1"/>
    </xf>
    <xf numFmtId="0" fontId="8" fillId="0" borderId="18" xfId="0" applyFont="1" applyBorder="1" applyAlignment="1">
      <alignment horizontal="center" vertical="center"/>
    </xf>
    <xf numFmtId="0" fontId="18" fillId="0" borderId="21" xfId="2" applyFont="1" applyBorder="1" applyAlignment="1" applyProtection="1">
      <alignment horizontal="center" vertical="center" wrapText="1"/>
    </xf>
    <xf numFmtId="0" fontId="18" fillId="0" borderId="18" xfId="2" applyFont="1" applyFill="1" applyBorder="1" applyAlignment="1" applyProtection="1">
      <alignment horizontal="center" vertical="center" wrapText="1"/>
    </xf>
    <xf numFmtId="0" fontId="18" fillId="0" borderId="22" xfId="2" applyFont="1" applyFill="1" applyBorder="1" applyAlignment="1" applyProtection="1">
      <alignment horizontal="center" vertical="center" wrapText="1"/>
    </xf>
    <xf numFmtId="0" fontId="7" fillId="0" borderId="21" xfId="5" applyFont="1" applyBorder="1" applyAlignment="1" applyProtection="1">
      <alignment horizontal="left" vertical="center" wrapText="1"/>
    </xf>
    <xf numFmtId="165" fontId="4" fillId="0" borderId="16" xfId="6" applyNumberFormat="1" applyFont="1" applyBorder="1" applyAlignment="1">
      <alignment vertical="center"/>
    </xf>
    <xf numFmtId="0" fontId="4" fillId="0" borderId="21" xfId="6" applyFont="1" applyBorder="1" applyAlignment="1">
      <alignment horizontal="left" vertical="center"/>
    </xf>
    <xf numFmtId="0" fontId="4" fillId="0" borderId="21" xfId="4" applyFont="1" applyBorder="1"/>
    <xf numFmtId="164" fontId="4" fillId="0" borderId="21" xfId="4" applyNumberFormat="1" applyFont="1" applyBorder="1" applyAlignment="1">
      <alignment horizontal="center" vertical="center" wrapText="1"/>
    </xf>
    <xf numFmtId="0" fontId="4" fillId="0" borderId="0" xfId="4" applyFont="1"/>
    <xf numFmtId="1" fontId="4" fillId="0" borderId="12" xfId="6" applyNumberFormat="1" applyFont="1" applyBorder="1" applyAlignment="1">
      <alignment horizontal="center" vertical="center"/>
    </xf>
    <xf numFmtId="0" fontId="4" fillId="0" borderId="18" xfId="6" applyFont="1" applyBorder="1" applyAlignment="1">
      <alignment horizontal="left" vertical="center"/>
    </xf>
    <xf numFmtId="0" fontId="4" fillId="0" borderId="18" xfId="6" applyFont="1" applyBorder="1" applyAlignment="1">
      <alignment horizontal="center" vertical="center"/>
    </xf>
    <xf numFmtId="0" fontId="7" fillId="0" borderId="18" xfId="5" applyFont="1" applyFill="1" applyBorder="1" applyAlignment="1" applyProtection="1">
      <alignment horizontal="left" vertical="center" wrapText="1"/>
    </xf>
    <xf numFmtId="164" fontId="4" fillId="0" borderId="18" xfId="4" applyNumberFormat="1" applyFont="1" applyBorder="1" applyAlignment="1">
      <alignment horizontal="center" vertical="center"/>
    </xf>
    <xf numFmtId="164" fontId="4" fillId="0" borderId="18" xfId="4" applyNumberFormat="1" applyFont="1" applyBorder="1" applyAlignment="1">
      <alignment horizontal="center" vertical="center" wrapText="1"/>
    </xf>
    <xf numFmtId="9" fontId="4" fillId="0" borderId="0" xfId="7" applyFont="1"/>
    <xf numFmtId="165" fontId="4" fillId="0" borderId="20" xfId="6" applyNumberFormat="1" applyFont="1" applyBorder="1" applyAlignment="1">
      <alignment vertical="center"/>
    </xf>
    <xf numFmtId="0" fontId="4" fillId="0" borderId="22" xfId="6" applyFont="1" applyBorder="1" applyAlignment="1">
      <alignment horizontal="left" vertical="center"/>
    </xf>
    <xf numFmtId="0" fontId="4" fillId="0" borderId="22" xfId="6" applyFont="1" applyBorder="1" applyAlignment="1">
      <alignment horizontal="center" vertical="center"/>
    </xf>
    <xf numFmtId="0" fontId="7" fillId="0" borderId="22" xfId="5" applyFont="1" applyFill="1" applyBorder="1" applyAlignment="1" applyProtection="1">
      <alignment horizontal="left" vertical="center" wrapText="1"/>
    </xf>
    <xf numFmtId="164" fontId="4" fillId="0" borderId="22" xfId="4" applyNumberFormat="1" applyFont="1" applyBorder="1" applyAlignment="1">
      <alignment vertical="center"/>
    </xf>
    <xf numFmtId="164" fontId="4" fillId="0" borderId="22" xfId="4" applyNumberFormat="1" applyFont="1" applyBorder="1" applyAlignment="1">
      <alignment horizontal="center" vertical="center" wrapText="1"/>
    </xf>
    <xf numFmtId="0" fontId="4" fillId="0" borderId="37" xfId="0" applyFont="1" applyBorder="1" applyAlignment="1">
      <alignment vertical="center"/>
    </xf>
    <xf numFmtId="164" fontId="4" fillId="9" borderId="21" xfId="3" applyNumberFormat="1" applyFont="1" applyFill="1" applyBorder="1" applyAlignment="1">
      <alignment horizontal="center" vertical="center"/>
    </xf>
    <xf numFmtId="164" fontId="4" fillId="9" borderId="18" xfId="3" applyNumberFormat="1" applyFont="1" applyFill="1" applyBorder="1" applyAlignment="1">
      <alignment horizontal="center" vertical="center"/>
    </xf>
    <xf numFmtId="164" fontId="4" fillId="9" borderId="22" xfId="3" applyNumberFormat="1" applyFont="1" applyFill="1" applyBorder="1" applyAlignment="1">
      <alignment horizontal="center" vertical="center"/>
    </xf>
    <xf numFmtId="0" fontId="4" fillId="0" borderId="38" xfId="0" applyFont="1" applyBorder="1" applyAlignment="1">
      <alignment horizontal="left" vertical="center"/>
    </xf>
    <xf numFmtId="0" fontId="4" fillId="0" borderId="38" xfId="0" applyFont="1" applyBorder="1" applyAlignment="1">
      <alignment horizontal="center" vertical="center"/>
    </xf>
    <xf numFmtId="164" fontId="4" fillId="0" borderId="38" xfId="3" applyNumberFormat="1" applyFont="1" applyFill="1" applyBorder="1" applyAlignment="1">
      <alignment horizontal="center" vertical="center"/>
    </xf>
    <xf numFmtId="0" fontId="19" fillId="0" borderId="18" xfId="0" applyFont="1" applyBorder="1" applyAlignment="1">
      <alignment horizontal="left" vertical="center"/>
    </xf>
    <xf numFmtId="0" fontId="4" fillId="0" borderId="16" xfId="0" applyFont="1" applyBorder="1" applyAlignment="1">
      <alignment horizontal="left" vertical="center" wrapText="1" indent="1"/>
    </xf>
    <xf numFmtId="0" fontId="4" fillId="0" borderId="20" xfId="0" applyFont="1" applyBorder="1" applyAlignment="1">
      <alignment horizontal="left" vertical="center" wrapText="1" indent="1"/>
    </xf>
    <xf numFmtId="0" fontId="4" fillId="8" borderId="20" xfId="0" applyFont="1" applyFill="1" applyBorder="1" applyAlignment="1">
      <alignment horizontal="left" vertical="center" wrapText="1" indent="1"/>
    </xf>
    <xf numFmtId="0" fontId="4" fillId="0" borderId="0" xfId="0" applyFont="1" applyAlignment="1">
      <alignment horizontal="center"/>
    </xf>
    <xf numFmtId="164" fontId="4" fillId="9" borderId="38" xfId="3" applyNumberFormat="1" applyFont="1" applyFill="1" applyBorder="1" applyAlignment="1">
      <alignment horizontal="center" vertical="center"/>
    </xf>
    <xf numFmtId="0" fontId="4" fillId="0" borderId="16" xfId="0" applyFont="1" applyBorder="1" applyAlignment="1">
      <alignment horizontal="center" vertical="center" wrapText="1"/>
    </xf>
    <xf numFmtId="0" fontId="4" fillId="0" borderId="12" xfId="0" applyFont="1" applyBorder="1" applyAlignment="1">
      <alignment horizontal="center" vertical="center" wrapText="1"/>
    </xf>
    <xf numFmtId="164" fontId="4" fillId="8" borderId="21" xfId="3" applyNumberFormat="1" applyFont="1" applyFill="1" applyBorder="1" applyAlignment="1">
      <alignment horizontal="center" vertical="center"/>
    </xf>
    <xf numFmtId="164" fontId="4" fillId="8" borderId="18" xfId="3" applyNumberFormat="1" applyFont="1" applyFill="1" applyBorder="1" applyAlignment="1">
      <alignment horizontal="center" vertical="center"/>
    </xf>
    <xf numFmtId="164" fontId="4" fillId="8" borderId="22" xfId="3" applyNumberFormat="1" applyFont="1" applyFill="1" applyBorder="1" applyAlignment="1">
      <alignment horizontal="center" vertical="center"/>
    </xf>
    <xf numFmtId="0" fontId="15" fillId="0" borderId="0" xfId="0" applyFont="1" applyAlignment="1">
      <alignment horizontal="center" vertical="center"/>
    </xf>
    <xf numFmtId="0" fontId="4" fillId="8" borderId="12" xfId="0" applyFont="1" applyFill="1" applyBorder="1" applyAlignment="1">
      <alignment horizontal="center" vertical="center" wrapText="1"/>
    </xf>
    <xf numFmtId="0" fontId="4" fillId="8" borderId="20" xfId="0" applyFont="1" applyFill="1" applyBorder="1" applyAlignment="1">
      <alignment horizontal="center" vertical="center" wrapText="1"/>
    </xf>
    <xf numFmtId="0" fontId="4" fillId="0" borderId="20" xfId="0" applyFont="1" applyBorder="1" applyAlignment="1">
      <alignment horizontal="center" vertical="center" wrapText="1"/>
    </xf>
    <xf numFmtId="0" fontId="4" fillId="8" borderId="16" xfId="0" applyFont="1" applyFill="1" applyBorder="1" applyAlignment="1">
      <alignment horizontal="left" vertical="center" wrapText="1" indent="1"/>
    </xf>
    <xf numFmtId="0" fontId="4" fillId="10" borderId="21" xfId="0" applyFont="1" applyFill="1" applyBorder="1"/>
    <xf numFmtId="164" fontId="4" fillId="10" borderId="21" xfId="0" applyNumberFormat="1" applyFont="1" applyFill="1" applyBorder="1" applyAlignment="1">
      <alignment horizontal="center" vertical="center" wrapText="1"/>
    </xf>
    <xf numFmtId="164" fontId="4" fillId="10" borderId="18" xfId="0" applyNumberFormat="1" applyFont="1" applyFill="1" applyBorder="1" applyAlignment="1">
      <alignment horizontal="center" vertical="center"/>
    </xf>
    <xf numFmtId="164" fontId="4" fillId="10" borderId="18" xfId="0" applyNumberFormat="1" applyFont="1" applyFill="1" applyBorder="1" applyAlignment="1">
      <alignment horizontal="center" vertical="center" wrapText="1"/>
    </xf>
    <xf numFmtId="164" fontId="4" fillId="10" borderId="22" xfId="0" applyNumberFormat="1" applyFont="1" applyFill="1" applyBorder="1" applyAlignment="1">
      <alignment vertical="center"/>
    </xf>
    <xf numFmtId="164" fontId="4" fillId="10" borderId="22" xfId="0" applyNumberFormat="1" applyFont="1" applyFill="1" applyBorder="1" applyAlignment="1">
      <alignment horizontal="center" vertical="center" wrapText="1"/>
    </xf>
    <xf numFmtId="0" fontId="4" fillId="10" borderId="16" xfId="0" applyFont="1" applyFill="1" applyBorder="1" applyAlignment="1">
      <alignment horizontal="left" vertical="center" wrapText="1" indent="1"/>
    </xf>
    <xf numFmtId="0" fontId="4" fillId="10" borderId="12" xfId="0" applyFont="1" applyFill="1" applyBorder="1" applyAlignment="1">
      <alignment horizontal="left" vertical="center" wrapText="1" indent="1"/>
    </xf>
    <xf numFmtId="0" fontId="4" fillId="10" borderId="20" xfId="0" applyFont="1" applyFill="1" applyBorder="1" applyAlignment="1">
      <alignment horizontal="left" vertical="center" wrapText="1" indent="1"/>
    </xf>
    <xf numFmtId="0" fontId="4" fillId="10" borderId="16"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20" xfId="0" applyFont="1" applyFill="1" applyBorder="1" applyAlignment="1">
      <alignment horizontal="center" vertical="center" wrapText="1"/>
    </xf>
    <xf numFmtId="164" fontId="4" fillId="10" borderId="21" xfId="3" applyNumberFormat="1" applyFont="1" applyFill="1" applyBorder="1" applyAlignment="1">
      <alignment horizontal="center" vertical="center"/>
    </xf>
    <xf numFmtId="164" fontId="4" fillId="10" borderId="18" xfId="3" applyNumberFormat="1" applyFont="1" applyFill="1" applyBorder="1" applyAlignment="1">
      <alignment horizontal="center" vertical="center"/>
    </xf>
    <xf numFmtId="164" fontId="4" fillId="10" borderId="22" xfId="3" applyNumberFormat="1" applyFont="1" applyFill="1" applyBorder="1" applyAlignment="1">
      <alignment horizontal="center" vertical="center"/>
    </xf>
    <xf numFmtId="0" fontId="4" fillId="8" borderId="22" xfId="0" applyFont="1" applyFill="1" applyBorder="1" applyAlignment="1">
      <alignment horizontal="left" vertical="center"/>
    </xf>
    <xf numFmtId="0" fontId="4" fillId="0" borderId="18" xfId="0" applyFont="1" applyBorder="1" applyAlignment="1">
      <alignment horizontal="left" vertical="center" wrapText="1"/>
    </xf>
    <xf numFmtId="0" fontId="20" fillId="0" borderId="0" xfId="0" applyFont="1"/>
    <xf numFmtId="0" fontId="21" fillId="0" borderId="4" xfId="0" applyFont="1" applyBorder="1" applyAlignment="1">
      <alignment horizontal="center"/>
    </xf>
    <xf numFmtId="164" fontId="21" fillId="2" borderId="9" xfId="0" applyNumberFormat="1" applyFont="1" applyFill="1" applyBorder="1" applyAlignment="1">
      <alignment horizontal="center" wrapText="1"/>
    </xf>
    <xf numFmtId="164" fontId="20" fillId="0" borderId="18" xfId="3" applyNumberFormat="1" applyFont="1" applyFill="1" applyBorder="1" applyAlignment="1">
      <alignment horizontal="center" vertical="center"/>
    </xf>
    <xf numFmtId="164" fontId="20" fillId="0" borderId="22" xfId="3" applyNumberFormat="1" applyFont="1" applyFill="1" applyBorder="1" applyAlignment="1">
      <alignment horizontal="center" vertical="center"/>
    </xf>
    <xf numFmtId="0" fontId="4" fillId="8" borderId="21" xfId="0" applyFont="1" applyFill="1" applyBorder="1" applyAlignment="1">
      <alignment vertical="center"/>
    </xf>
    <xf numFmtId="164" fontId="4" fillId="10" borderId="38" xfId="3" applyNumberFormat="1" applyFont="1" applyFill="1" applyBorder="1" applyAlignment="1">
      <alignment horizontal="center" vertical="center"/>
    </xf>
    <xf numFmtId="0" fontId="5" fillId="2" borderId="17" xfId="0" applyFont="1" applyFill="1" applyBorder="1" applyAlignment="1">
      <alignment horizontal="center" vertical="center" wrapText="1"/>
    </xf>
    <xf numFmtId="0" fontId="7" fillId="0" borderId="22" xfId="2" applyFont="1" applyFill="1" applyBorder="1" applyAlignment="1" applyProtection="1">
      <alignment vertical="center" wrapText="1"/>
    </xf>
    <xf numFmtId="0" fontId="4" fillId="0" borderId="23" xfId="0" applyFont="1" applyBorder="1" applyAlignment="1">
      <alignment horizontal="left" vertical="center"/>
    </xf>
    <xf numFmtId="0" fontId="8" fillId="0" borderId="23" xfId="0" applyFont="1" applyBorder="1" applyAlignment="1">
      <alignment horizontal="center" vertical="center"/>
    </xf>
    <xf numFmtId="0" fontId="4" fillId="8" borderId="18" xfId="0" applyFont="1" applyFill="1" applyBorder="1" applyAlignment="1">
      <alignment horizontal="left" vertical="center"/>
    </xf>
    <xf numFmtId="164" fontId="20" fillId="8" borderId="21" xfId="3" applyNumberFormat="1" applyFont="1" applyFill="1" applyBorder="1" applyAlignment="1">
      <alignment horizontal="center" vertical="center"/>
    </xf>
    <xf numFmtId="164" fontId="20" fillId="8" borderId="18" xfId="3" applyNumberFormat="1" applyFont="1" applyFill="1" applyBorder="1" applyAlignment="1">
      <alignment horizontal="center" vertical="center"/>
    </xf>
    <xf numFmtId="164" fontId="20" fillId="8" borderId="22" xfId="3" applyNumberFormat="1" applyFont="1" applyFill="1" applyBorder="1" applyAlignment="1">
      <alignment horizontal="center" vertical="center"/>
    </xf>
    <xf numFmtId="164" fontId="20" fillId="8" borderId="23" xfId="3" applyNumberFormat="1" applyFont="1" applyFill="1" applyBorder="1" applyAlignment="1">
      <alignment horizontal="center" vertical="center"/>
    </xf>
    <xf numFmtId="0" fontId="4" fillId="0" borderId="22" xfId="0" applyFont="1" applyBorder="1" applyAlignment="1">
      <alignment vertical="center"/>
    </xf>
    <xf numFmtId="44" fontId="4" fillId="0" borderId="0" xfId="8" applyFont="1" applyAlignment="1">
      <alignment vertical="center"/>
    </xf>
    <xf numFmtId="0" fontId="4" fillId="10" borderId="0" xfId="0" applyFont="1" applyFill="1"/>
    <xf numFmtId="0" fontId="6" fillId="10" borderId="4" xfId="0" applyFont="1" applyFill="1" applyBorder="1" applyAlignment="1">
      <alignment horizontal="center"/>
    </xf>
    <xf numFmtId="164" fontId="5" fillId="10" borderId="9" xfId="0" applyNumberFormat="1" applyFont="1" applyFill="1" applyBorder="1" applyAlignment="1">
      <alignment horizontal="center" wrapText="1"/>
    </xf>
    <xf numFmtId="166" fontId="4" fillId="0" borderId="21" xfId="3" applyNumberFormat="1" applyFont="1" applyFill="1" applyBorder="1" applyAlignment="1">
      <alignment horizontal="center" vertical="center"/>
    </xf>
    <xf numFmtId="166" fontId="4" fillId="0" borderId="18" xfId="3" applyNumberFormat="1" applyFont="1" applyFill="1" applyBorder="1" applyAlignment="1">
      <alignment horizontal="center" vertical="center"/>
    </xf>
    <xf numFmtId="166" fontId="4" fillId="0" borderId="22" xfId="3" applyNumberFormat="1" applyFont="1" applyFill="1" applyBorder="1" applyAlignment="1">
      <alignment horizontal="center" vertical="center"/>
    </xf>
    <xf numFmtId="164" fontId="4" fillId="9" borderId="18" xfId="3" applyNumberFormat="1" applyFont="1" applyFill="1" applyBorder="1" applyAlignment="1">
      <alignment horizontal="center" vertical="center" wrapText="1"/>
    </xf>
    <xf numFmtId="164" fontId="4" fillId="9" borderId="22" xfId="3" applyNumberFormat="1" applyFont="1" applyFill="1" applyBorder="1" applyAlignment="1">
      <alignment horizontal="center" vertical="center" wrapText="1"/>
    </xf>
    <xf numFmtId="0" fontId="4" fillId="0" borderId="21" xfId="0" applyFont="1" applyBorder="1" applyAlignment="1">
      <alignment vertical="center" wrapText="1"/>
    </xf>
    <xf numFmtId="164" fontId="23" fillId="0" borderId="18" xfId="2" applyNumberFormat="1" applyFont="1" applyFill="1" applyBorder="1" applyAlignment="1" applyProtection="1">
      <alignment vertical="center" wrapText="1"/>
    </xf>
    <xf numFmtId="0" fontId="23" fillId="0" borderId="22" xfId="2" applyFont="1" applyFill="1" applyBorder="1" applyAlignment="1" applyProtection="1">
      <alignment vertical="center" wrapText="1"/>
    </xf>
    <xf numFmtId="0" fontId="24" fillId="0" borderId="18" xfId="2" applyFont="1" applyFill="1" applyBorder="1" applyAlignment="1" applyProtection="1">
      <alignment vertical="center" wrapText="1"/>
    </xf>
    <xf numFmtId="0" fontId="24" fillId="0" borderId="23" xfId="2" applyFont="1" applyFill="1" applyBorder="1" applyAlignment="1" applyProtection="1">
      <alignment vertical="center" wrapText="1"/>
    </xf>
    <xf numFmtId="0" fontId="4" fillId="8" borderId="16" xfId="0" applyFont="1" applyFill="1" applyBorder="1" applyAlignment="1">
      <alignment horizontal="center" vertical="center"/>
    </xf>
    <xf numFmtId="0" fontId="4" fillId="8" borderId="12" xfId="0" applyFont="1" applyFill="1" applyBorder="1" applyAlignment="1">
      <alignment horizontal="center" vertical="center"/>
    </xf>
    <xf numFmtId="0" fontId="4" fillId="8" borderId="20" xfId="0" applyFont="1" applyFill="1" applyBorder="1" applyAlignment="1">
      <alignment horizontal="center" vertical="center"/>
    </xf>
    <xf numFmtId="164" fontId="4" fillId="9" borderId="21" xfId="3" applyNumberFormat="1" applyFont="1" applyFill="1" applyBorder="1" applyAlignment="1">
      <alignment horizontal="center" vertical="center"/>
    </xf>
    <xf numFmtId="164" fontId="4" fillId="9" borderId="18" xfId="3" applyNumberFormat="1" applyFont="1" applyFill="1" applyBorder="1" applyAlignment="1">
      <alignment horizontal="center" vertical="center"/>
    </xf>
    <xf numFmtId="164" fontId="4" fillId="9" borderId="22" xfId="3" applyNumberFormat="1" applyFont="1" applyFill="1" applyBorder="1" applyAlignment="1">
      <alignment horizontal="center" vertical="center"/>
    </xf>
    <xf numFmtId="164" fontId="4" fillId="0" borderId="25" xfId="0" applyNumberFormat="1" applyFont="1" applyBorder="1" applyAlignment="1">
      <alignment horizontal="center" vertical="center"/>
    </xf>
    <xf numFmtId="164" fontId="4" fillId="0" borderId="27" xfId="0" applyNumberFormat="1" applyFont="1" applyBorder="1" applyAlignment="1">
      <alignment horizontal="center" vertical="center"/>
    </xf>
    <xf numFmtId="164" fontId="4" fillId="0" borderId="29" xfId="0" applyNumberFormat="1" applyFont="1" applyBorder="1" applyAlignment="1">
      <alignment horizontal="center" vertical="center"/>
    </xf>
    <xf numFmtId="164" fontId="4" fillId="0" borderId="21" xfId="3" applyNumberFormat="1" applyFont="1" applyFill="1" applyBorder="1" applyAlignment="1">
      <alignment horizontal="center" vertical="center"/>
    </xf>
    <xf numFmtId="164" fontId="4" fillId="0" borderId="18" xfId="3" applyNumberFormat="1" applyFont="1" applyFill="1" applyBorder="1" applyAlignment="1">
      <alignment horizontal="center" vertical="center"/>
    </xf>
    <xf numFmtId="164" fontId="4" fillId="0" borderId="22" xfId="3" applyNumberFormat="1" applyFont="1" applyFill="1" applyBorder="1" applyAlignment="1">
      <alignment horizontal="center" vertical="center"/>
    </xf>
    <xf numFmtId="9" fontId="4" fillId="0" borderId="21" xfId="1" applyFont="1" applyFill="1" applyBorder="1" applyAlignment="1">
      <alignment horizontal="center" vertical="center"/>
    </xf>
    <xf numFmtId="9" fontId="4" fillId="0" borderId="18" xfId="1" applyFont="1" applyFill="1" applyBorder="1" applyAlignment="1">
      <alignment horizontal="center" vertical="center"/>
    </xf>
    <xf numFmtId="9" fontId="4" fillId="0" borderId="22" xfId="1" applyFont="1" applyFill="1" applyBorder="1" applyAlignment="1">
      <alignment horizontal="center" vertical="center"/>
    </xf>
    <xf numFmtId="0" fontId="4" fillId="0" borderId="24" xfId="0" quotePrefix="1" applyFont="1" applyBorder="1" applyAlignment="1">
      <alignment horizontal="center" vertical="center"/>
    </xf>
    <xf numFmtId="0" fontId="4" fillId="0" borderId="26" xfId="0" applyFont="1" applyBorder="1" applyAlignment="1">
      <alignment horizontal="center" vertical="center"/>
    </xf>
    <xf numFmtId="0" fontId="4" fillId="0" borderId="28" xfId="0" applyFont="1" applyBorder="1" applyAlignment="1">
      <alignment horizontal="center" vertical="center"/>
    </xf>
    <xf numFmtId="0" fontId="4" fillId="12" borderId="21" xfId="0" applyFont="1" applyFill="1" applyBorder="1" applyAlignment="1">
      <alignment horizontal="left" vertical="top" wrapText="1" indent="1"/>
    </xf>
    <xf numFmtId="0" fontId="4" fillId="12" borderId="18" xfId="0" applyFont="1" applyFill="1" applyBorder="1" applyAlignment="1">
      <alignment horizontal="left" vertical="top" wrapText="1" indent="1"/>
    </xf>
    <xf numFmtId="0" fontId="4" fillId="12" borderId="22" xfId="0" applyFont="1" applyFill="1" applyBorder="1" applyAlignment="1">
      <alignment horizontal="left" vertical="top" wrapText="1" indent="1"/>
    </xf>
    <xf numFmtId="0" fontId="4" fillId="12" borderId="21" xfId="0" applyFont="1" applyFill="1" applyBorder="1" applyAlignment="1">
      <alignment horizontal="left" vertical="center" wrapText="1" indent="1"/>
    </xf>
    <xf numFmtId="0" fontId="4" fillId="12" borderId="18" xfId="0" applyFont="1" applyFill="1" applyBorder="1" applyAlignment="1">
      <alignment horizontal="left" vertical="center" wrapText="1" indent="1"/>
    </xf>
    <xf numFmtId="0" fontId="4" fillId="12" borderId="22" xfId="0" applyFont="1" applyFill="1" applyBorder="1" applyAlignment="1">
      <alignment horizontal="left" vertical="center" wrapText="1" indent="1"/>
    </xf>
    <xf numFmtId="164" fontId="4" fillId="10" borderId="21" xfId="3" applyNumberFormat="1" applyFont="1" applyFill="1" applyBorder="1" applyAlignment="1">
      <alignment horizontal="center" vertical="center"/>
    </xf>
    <xf numFmtId="164" fontId="4" fillId="10" borderId="18" xfId="3" applyNumberFormat="1" applyFont="1" applyFill="1" applyBorder="1" applyAlignment="1">
      <alignment horizontal="center" vertical="center"/>
    </xf>
    <xf numFmtId="164" fontId="4" fillId="10" borderId="22" xfId="3" applyNumberFormat="1" applyFont="1" applyFill="1" applyBorder="1" applyAlignment="1">
      <alignment horizontal="center" vertical="center"/>
    </xf>
    <xf numFmtId="0" fontId="4" fillId="0" borderId="21" xfId="0" applyFont="1" applyBorder="1" applyAlignment="1">
      <alignment horizontal="left" vertical="center" wrapText="1" indent="1"/>
    </xf>
    <xf numFmtId="0" fontId="4" fillId="0" borderId="18" xfId="0" applyFont="1" applyBorder="1" applyAlignment="1">
      <alignment horizontal="left" vertical="center" wrapText="1" indent="1"/>
    </xf>
    <xf numFmtId="0" fontId="4" fillId="0" borderId="22" xfId="0" applyFont="1" applyBorder="1" applyAlignment="1">
      <alignment horizontal="left" vertical="center" wrapText="1" indent="1"/>
    </xf>
    <xf numFmtId="0" fontId="13" fillId="0" borderId="4" xfId="0" applyFont="1" applyBorder="1" applyAlignment="1">
      <alignment horizontal="left" vertical="center" wrapText="1"/>
    </xf>
    <xf numFmtId="9" fontId="4" fillId="10" borderId="21" xfId="1" applyFont="1" applyFill="1" applyBorder="1" applyAlignment="1">
      <alignment horizontal="center" vertical="center"/>
    </xf>
    <xf numFmtId="9" fontId="4" fillId="10" borderId="18" xfId="1" applyFont="1" applyFill="1" applyBorder="1" applyAlignment="1">
      <alignment horizontal="center" vertical="center"/>
    </xf>
    <xf numFmtId="9" fontId="4" fillId="10" borderId="22" xfId="1" applyFont="1" applyFill="1" applyBorder="1" applyAlignment="1">
      <alignment horizontal="center" vertical="center"/>
    </xf>
    <xf numFmtId="0" fontId="4" fillId="8" borderId="21" xfId="0" applyFont="1" applyFill="1" applyBorder="1" applyAlignment="1">
      <alignment horizontal="left" vertical="center" wrapText="1" indent="1"/>
    </xf>
    <xf numFmtId="0" fontId="4" fillId="8" borderId="18" xfId="0" applyFont="1" applyFill="1" applyBorder="1" applyAlignment="1">
      <alignment horizontal="left" vertical="center" wrapText="1" indent="1"/>
    </xf>
    <xf numFmtId="0" fontId="4" fillId="8" borderId="22" xfId="0" applyFont="1" applyFill="1" applyBorder="1" applyAlignment="1">
      <alignment horizontal="left" vertical="center" wrapText="1" indent="1"/>
    </xf>
    <xf numFmtId="0" fontId="4" fillId="10" borderId="16"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20" xfId="0" applyFont="1" applyFill="1" applyBorder="1" applyAlignment="1">
      <alignment horizontal="center" vertical="center" wrapText="1"/>
    </xf>
    <xf numFmtId="164" fontId="4" fillId="10" borderId="25" xfId="0" applyNumberFormat="1" applyFont="1" applyFill="1" applyBorder="1" applyAlignment="1">
      <alignment horizontal="center" vertical="center"/>
    </xf>
    <xf numFmtId="164" fontId="4" fillId="10" borderId="27" xfId="0" applyNumberFormat="1" applyFont="1" applyFill="1" applyBorder="1" applyAlignment="1">
      <alignment horizontal="center" vertical="center"/>
    </xf>
    <xf numFmtId="164" fontId="4" fillId="10" borderId="29" xfId="0" applyNumberFormat="1" applyFont="1" applyFill="1" applyBorder="1" applyAlignment="1">
      <alignment horizontal="center" vertical="center"/>
    </xf>
    <xf numFmtId="0" fontId="4" fillId="11" borderId="16" xfId="0" applyFont="1" applyFill="1" applyBorder="1" applyAlignment="1">
      <alignment horizontal="center" vertical="center" wrapText="1"/>
    </xf>
    <xf numFmtId="0" fontId="4" fillId="11" borderId="12" xfId="0" applyFont="1" applyFill="1" applyBorder="1" applyAlignment="1">
      <alignment horizontal="center" vertical="center" wrapText="1"/>
    </xf>
    <xf numFmtId="0" fontId="4" fillId="11" borderId="20"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164" fontId="6" fillId="5" borderId="31" xfId="0" applyNumberFormat="1" applyFont="1" applyFill="1" applyBorder="1" applyAlignment="1">
      <alignment horizontal="center" vertical="center" wrapText="1"/>
    </xf>
    <xf numFmtId="164" fontId="6" fillId="5" borderId="32" xfId="0" applyNumberFormat="1" applyFont="1" applyFill="1" applyBorder="1" applyAlignment="1">
      <alignment horizontal="center" vertical="center" wrapText="1"/>
    </xf>
    <xf numFmtId="9" fontId="4" fillId="0" borderId="38" xfId="1" applyFont="1" applyFill="1" applyBorder="1" applyAlignment="1">
      <alignment horizontal="center" vertical="center"/>
    </xf>
    <xf numFmtId="0" fontId="4" fillId="0" borderId="39" xfId="0" quotePrefix="1" applyFont="1" applyBorder="1" applyAlignment="1">
      <alignment horizontal="center" vertical="center"/>
    </xf>
    <xf numFmtId="0" fontId="4" fillId="0" borderId="38" xfId="0" applyFont="1" applyBorder="1" applyAlignment="1">
      <alignment horizontal="left" vertical="center" wrapText="1" indent="1"/>
    </xf>
    <xf numFmtId="164" fontId="4" fillId="0" borderId="38" xfId="3" applyNumberFormat="1" applyFont="1" applyFill="1" applyBorder="1" applyAlignment="1">
      <alignment horizontal="center" vertical="center"/>
    </xf>
    <xf numFmtId="0" fontId="4" fillId="0" borderId="16" xfId="0" applyFont="1" applyBorder="1" applyAlignment="1">
      <alignment horizontal="left" vertical="center" wrapText="1"/>
    </xf>
    <xf numFmtId="0" fontId="4" fillId="0" borderId="12" xfId="0" applyFont="1" applyBorder="1" applyAlignment="1">
      <alignment horizontal="left" vertical="center" wrapText="1"/>
    </xf>
    <xf numFmtId="0" fontId="4" fillId="0" borderId="20" xfId="0" applyFont="1" applyBorder="1" applyAlignment="1">
      <alignment horizontal="left" vertical="center" wrapText="1"/>
    </xf>
    <xf numFmtId="0" fontId="4" fillId="0" borderId="33" xfId="0" quotePrefix="1" applyFont="1" applyBorder="1" applyAlignment="1">
      <alignment horizontal="center" vertical="center" wrapText="1"/>
    </xf>
    <xf numFmtId="0" fontId="4" fillId="0" borderId="34" xfId="0" quotePrefix="1" applyFont="1" applyBorder="1" applyAlignment="1">
      <alignment horizontal="center" vertical="center" wrapText="1"/>
    </xf>
    <xf numFmtId="0" fontId="4" fillId="0" borderId="35" xfId="0" quotePrefix="1" applyFont="1" applyBorder="1" applyAlignment="1">
      <alignment horizontal="center" vertical="center" wrapText="1"/>
    </xf>
    <xf numFmtId="0" fontId="4" fillId="8" borderId="21" xfId="0" applyFont="1" applyFill="1" applyBorder="1" applyAlignment="1">
      <alignment horizontal="left" vertical="top" wrapText="1" indent="1"/>
    </xf>
    <xf numFmtId="0" fontId="4" fillId="8" borderId="18" xfId="0" applyFont="1" applyFill="1" applyBorder="1" applyAlignment="1">
      <alignment horizontal="left" vertical="top" wrapText="1" indent="1"/>
    </xf>
    <xf numFmtId="0" fontId="4" fillId="8" borderId="22" xfId="0" applyFont="1" applyFill="1" applyBorder="1" applyAlignment="1">
      <alignment horizontal="left" vertical="top" wrapText="1" indent="1"/>
    </xf>
    <xf numFmtId="0" fontId="4" fillId="0" borderId="0" xfId="0" applyFont="1" applyAlignment="1">
      <alignment horizontal="center"/>
    </xf>
    <xf numFmtId="9" fontId="4" fillId="0" borderId="21" xfId="7" applyFont="1" applyFill="1" applyBorder="1" applyAlignment="1">
      <alignment horizontal="center" vertical="center"/>
    </xf>
    <xf numFmtId="9" fontId="4" fillId="0" borderId="18" xfId="7" applyFont="1" applyFill="1" applyBorder="1" applyAlignment="1">
      <alignment horizontal="center" vertical="center"/>
    </xf>
    <xf numFmtId="9" fontId="4" fillId="0" borderId="22" xfId="7" applyFont="1" applyFill="1" applyBorder="1" applyAlignment="1">
      <alignment horizontal="center" vertical="center"/>
    </xf>
    <xf numFmtId="164" fontId="4" fillId="0" borderId="25" xfId="4" applyNumberFormat="1" applyFont="1" applyBorder="1" applyAlignment="1">
      <alignment horizontal="center" vertical="center"/>
    </xf>
    <xf numFmtId="164" fontId="4" fillId="0" borderId="27" xfId="4" applyNumberFormat="1" applyFont="1" applyBorder="1" applyAlignment="1">
      <alignment horizontal="center" vertical="center"/>
    </xf>
    <xf numFmtId="164" fontId="4" fillId="0" borderId="29" xfId="4" applyNumberFormat="1" applyFont="1" applyBorder="1" applyAlignment="1">
      <alignment horizontal="center" vertical="center"/>
    </xf>
    <xf numFmtId="0" fontId="4" fillId="8" borderId="16" xfId="0" applyFont="1" applyFill="1" applyBorder="1" applyAlignment="1">
      <alignment horizontal="center" vertical="center" wrapText="1"/>
    </xf>
    <xf numFmtId="0" fontId="4" fillId="8" borderId="12" xfId="0" applyFont="1" applyFill="1" applyBorder="1" applyAlignment="1">
      <alignment horizontal="center" vertical="center" wrapText="1"/>
    </xf>
    <xf numFmtId="0" fontId="4" fillId="8" borderId="20" xfId="0" applyFont="1" applyFill="1" applyBorder="1" applyAlignment="1">
      <alignment horizontal="center" vertical="center" wrapText="1"/>
    </xf>
    <xf numFmtId="0" fontId="4" fillId="0" borderId="24" xfId="4" quotePrefix="1" applyFont="1" applyBorder="1" applyAlignment="1">
      <alignment horizontal="center" vertical="center"/>
    </xf>
    <xf numFmtId="0" fontId="4" fillId="0" borderId="26" xfId="4" applyFont="1" applyBorder="1" applyAlignment="1">
      <alignment horizontal="center" vertical="center"/>
    </xf>
    <xf numFmtId="0" fontId="4" fillId="0" borderId="28" xfId="4" applyFont="1" applyBorder="1" applyAlignment="1">
      <alignment horizontal="center" vertical="center"/>
    </xf>
    <xf numFmtId="0" fontId="4" fillId="0" borderId="21" xfId="6" applyFont="1" applyBorder="1" applyAlignment="1">
      <alignment horizontal="left" vertical="center" wrapText="1" indent="1"/>
    </xf>
    <xf numFmtId="0" fontId="4" fillId="8" borderId="18" xfId="6" applyFont="1" applyFill="1" applyBorder="1" applyAlignment="1">
      <alignment horizontal="left" vertical="center" wrapText="1" indent="1"/>
    </xf>
    <xf numFmtId="0" fontId="4" fillId="8" borderId="22" xfId="6" applyFont="1" applyFill="1" applyBorder="1" applyAlignment="1">
      <alignment horizontal="left" vertical="center" wrapText="1" indent="1"/>
    </xf>
    <xf numFmtId="0" fontId="4" fillId="13" borderId="16" xfId="0" applyFont="1" applyFill="1" applyBorder="1" applyAlignment="1">
      <alignment horizontal="center" vertical="center" wrapText="1"/>
    </xf>
    <xf numFmtId="0" fontId="4" fillId="13" borderId="12" xfId="0" applyFont="1" applyFill="1" applyBorder="1" applyAlignment="1">
      <alignment horizontal="center" vertical="center" wrapText="1"/>
    </xf>
    <xf numFmtId="0" fontId="4" fillId="13" borderId="20"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0" xfId="0" applyFont="1" applyBorder="1" applyAlignment="1">
      <alignment horizontal="center" vertical="center" wrapText="1"/>
    </xf>
    <xf numFmtId="0" fontId="4" fillId="8" borderId="24" xfId="0" quotePrefix="1" applyFont="1" applyFill="1" applyBorder="1" applyAlignment="1">
      <alignment horizontal="center" vertical="center"/>
    </xf>
    <xf numFmtId="0" fontId="4" fillId="8" borderId="26" xfId="0" applyFont="1" applyFill="1" applyBorder="1" applyAlignment="1">
      <alignment horizontal="center" vertical="center"/>
    </xf>
    <xf numFmtId="0" fontId="4" fillId="8" borderId="28" xfId="0" applyFont="1" applyFill="1" applyBorder="1" applyAlignment="1">
      <alignment horizontal="center" vertical="center"/>
    </xf>
    <xf numFmtId="0" fontId="4" fillId="0" borderId="21"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2" xfId="0" applyFont="1" applyBorder="1" applyAlignment="1">
      <alignment horizontal="center" vertical="center" wrapText="1"/>
    </xf>
    <xf numFmtId="0" fontId="5" fillId="2" borderId="2" xfId="0" applyFont="1" applyFill="1" applyBorder="1" applyAlignment="1">
      <alignment horizontal="center"/>
    </xf>
    <xf numFmtId="0" fontId="6" fillId="2" borderId="2"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wrapText="1"/>
    </xf>
    <xf numFmtId="0" fontId="5" fillId="2" borderId="3" xfId="0" applyFont="1" applyFill="1" applyBorder="1" applyAlignment="1">
      <alignment horizontal="center"/>
    </xf>
    <xf numFmtId="164" fontId="6" fillId="5" borderId="13" xfId="0" applyNumberFormat="1" applyFont="1" applyFill="1" applyBorder="1" applyAlignment="1">
      <alignment horizontal="center" vertical="center" wrapText="1"/>
    </xf>
    <xf numFmtId="164" fontId="6" fillId="5" borderId="14" xfId="0" applyNumberFormat="1" applyFont="1" applyFill="1" applyBorder="1" applyAlignment="1">
      <alignment horizontal="center" vertical="center" wrapText="1"/>
    </xf>
    <xf numFmtId="0" fontId="4" fillId="8" borderId="36" xfId="0" quotePrefix="1" applyFont="1" applyFill="1" applyBorder="1" applyAlignment="1">
      <alignment horizontal="center" vertical="center"/>
    </xf>
    <xf numFmtId="0" fontId="4" fillId="8" borderId="21"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22" xfId="0" applyFont="1" applyFill="1" applyBorder="1" applyAlignment="1">
      <alignment horizontal="center" vertical="center" wrapText="1"/>
    </xf>
  </cellXfs>
  <cellStyles count="9">
    <cellStyle name="Hiperlink" xfId="2" builtinId="8"/>
    <cellStyle name="Hiperlink 2" xfId="5" xr:uid="{A89A0F58-941D-4F49-8E64-FB006EBF1394}"/>
    <cellStyle name="Moeda" xfId="8" builtinId="4"/>
    <cellStyle name="Moeda 2" xfId="3" xr:uid="{432C6094-8D1B-4E21-898E-86E09EA83B9E}"/>
    <cellStyle name="Normal" xfId="0" builtinId="0"/>
    <cellStyle name="Normal 2" xfId="4" xr:uid="{55EE6A0D-D253-4C47-B385-421DA01BF9C6}"/>
    <cellStyle name="Normal 2 2" xfId="6" xr:uid="{2C7B38B3-44AC-456E-9CA8-CFB0045F750F}"/>
    <cellStyle name="Porcentagem" xfId="1" builtinId="5"/>
    <cellStyle name="Porcentagem 2" xfId="7" xr:uid="{9EE9D88C-CE69-49CF-BA8B-1D86DE728896}"/>
  </cellStyles>
  <dxfs count="4">
    <dxf>
      <font>
        <color rgb="FF9C0006"/>
      </font>
    </dxf>
    <dxf>
      <font>
        <color rgb="FF9C0006"/>
      </font>
      <fill>
        <patternFill>
          <bgColor rgb="FFFFC7CE"/>
        </patternFill>
      </fill>
    </dxf>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pafer.com.br/caixa-6-entradas-condulete-top-36005300-tigre-p1108884" TargetMode="External"/><Relationship Id="rId21" Type="http://schemas.openxmlformats.org/officeDocument/2006/relationships/hyperlink" Target="https://www.anhangueraferramentas.com.br/produto/bucha-1-56134-004-tramontina-eletrik-107059?utm_source=google&amp;utm_medium=cpc&amp;utm_campaign=https://www.anhangueraferramentas.com.br/produto/bucha-1-56134-004-tramontina-eletrik-107059?utm_source=google&amp;utm_medium=cpc&amp;utm_campaign=merchant&amp;gclid=EAIaIQobChMIl93-l_Lg-gIVW0FIAB3doQlfEAQYAyABEgJel_D_BwE" TargetMode="External"/><Relationship Id="rId42" Type="http://schemas.openxmlformats.org/officeDocument/2006/relationships/hyperlink" Target="https://www.eletrorastro.com.br/produto/conector-macho-giratorio-1-latao-zincado-indel-85515" TargetMode="External"/><Relationship Id="rId63" Type="http://schemas.openxmlformats.org/officeDocument/2006/relationships/hyperlink" Target="https://www.copafer.com.br/plugue-femea-2p-t-10a-preto-2146-fame-p1093735?region_id=000001" TargetMode="External"/><Relationship Id="rId84" Type="http://schemas.openxmlformats.org/officeDocument/2006/relationships/hyperlink" Target="https://www.upperseg.com.br/cftv/dvr-gravadores-stand-alone/nvr-gravador-ip/nvr-gravador-digital-de-video-nvd-1432-intelbras-32-canais-ip-4k/?gad_source=4&amp;gclid=CjwKCAiA5L2tBhBTEiwAdSxJXxvOyCCqnzt6h4BAkEvZUwB6aQv8mZl9dMyiFHI59UkQtqsyk5CSEBoCpUQQAvD_BwE" TargetMode="External"/><Relationship Id="rId138" Type="http://schemas.openxmlformats.org/officeDocument/2006/relationships/hyperlink" Target="https://www.leroymerlin.com.br/barra-roscada-unc-zincada-mister-tamanho-1-2_1568309470" TargetMode="External"/><Relationship Id="rId159" Type="http://schemas.openxmlformats.org/officeDocument/2006/relationships/hyperlink" Target="https://www.tudoemtecnologia.com.br/caixa-de-passagem-para-cftv-vbox-5000-e-1?gad_source=1&amp;gclid=CjwKCAjwl4yyBhAgEiwADSEjeNDP_rJh5jeJt7jkD0Nb3AHMx7rrVzhaSoI97R9cA5tjbiVfsoUnNxoCDm8QAvD_BwE" TargetMode="External"/><Relationship Id="rId170" Type="http://schemas.openxmlformats.org/officeDocument/2006/relationships/hyperlink" Target="https://www.dimensional.com.br/conector-macho-giratorio-rosca-bsp-2-3341-abaflex/p?idsku=503386&amp;gad_source=1&amp;gclid=CjwKCAjwupGyBhBBEiwA0UcqaFgyrKRYouCiw0twa76e1JpW8ci2ER9zemAsca-KUKDeVzERj0dZ4xoCnoQQAvD_BwE" TargetMode="External"/><Relationship Id="rId191" Type="http://schemas.openxmlformats.org/officeDocument/2006/relationships/hyperlink" Target="https://www.dimensional.com.br/nobreak-s220v-20kva-15min-c-bat-e3sups20kfb-schneider/p?idsku=1281304&amp;srsltid=AfmBOopXXGJXZzjlOG2lJuhANPdvz1_tet26fxQElar1l4QTywbi5fvEVrE" TargetMode="External"/><Relationship Id="rId205" Type="http://schemas.openxmlformats.org/officeDocument/2006/relationships/hyperlink" Target="https://www.lojaeletrica.com.br/tomada-sistema-x-2-sec-o-2-polos-terra-10a-250v-pial-675062-legrand.html?srsltid=AfmBOoqBrt68XvM0NKwUBVaCPaUxzuuDCY_E5WC_3Blx1x-igyzmctHC" TargetMode="External"/><Relationship Id="rId226" Type="http://schemas.openxmlformats.org/officeDocument/2006/relationships/hyperlink" Target="https://www.saogeraldo.com/valvula-de-mictorio-horizontal-com-fechamento-automatico-decamatic-eco-cromado/p?idsku=218&amp;gad_source=1&amp;gad_campaignid=17428267865&amp;gbraid=0AAAAAoKVHIwHWgIq7NXdjf7ve79CHPCgw&amp;gclid=Cj0KCQjwmK_CBhCEARIsAMKwcD67OdFi98Fe7V_kyPf7x5im0vJgBE9RYEa9Mi4W7D0kLzX1in4R-X8aAlYwEALw_wcB" TargetMode="External"/><Relationship Id="rId107" Type="http://schemas.openxmlformats.org/officeDocument/2006/relationships/hyperlink" Target="https://www.leroymerlin.com.br/rodape-de-poliestireno-frisado-branco-10cm-de-altura---10x1x240cm-_1568550339" TargetMode="External"/><Relationship Id="rId11" Type="http://schemas.openxmlformats.org/officeDocument/2006/relationships/hyperlink" Target="https://www.viewtech.ind.br/catalog/product/view/id/3717/s/caixa-para-painel-de-comando-eletrico-30x30x20-view-tech/?utm_source=&amp;utm_medium=&amp;utm_campaign=&amp;utm_term=&amp;utm_content=" TargetMode="External"/><Relationship Id="rId32" Type="http://schemas.openxmlformats.org/officeDocument/2006/relationships/hyperlink" Target="https://www.ibyte.com.br/conector-rj45-cat6-macho-fc-1-unidade/p" TargetMode="External"/><Relationship Id="rId53" Type="http://schemas.openxmlformats.org/officeDocument/2006/relationships/hyperlink" Target="https://www.obramax.com.br/conector-reto-unidut-conico-1--com-rosca-externa-bsp-89666801/p?idsku=35781&amp;gad_source=4&amp;gclid=Cj0KCQiAnrOtBhDIARIsAFsSe52IJzybr27ck5aVCZxzJlu1PQT4ioQjTC39zeiUKmHubPr_8HJl93gaAhtCEALw_wcB" TargetMode="External"/><Relationship Id="rId74" Type="http://schemas.openxmlformats.org/officeDocument/2006/relationships/hyperlink" Target="https://www.loja.shcomp.com.br/canaleta-aluminio-53x15x2000mm-branco-dutotec?srsltid=AfmBOorfxqHnIs24hVNX_AnHTERJPEgbjHV30weaqu3QYyDmvKHpTMHn" TargetMode="External"/><Relationship Id="rId128" Type="http://schemas.openxmlformats.org/officeDocument/2006/relationships/hyperlink" Target="https://www.netalarmes.com.br/acionador-abertura-intelbras-bt-5000-in-embutir-inox-4-2?parceiro=8046&amp;parceiro=8764&amp;gad_source=1&amp;gclid=CjwKCAjw9IayBhBJEiwAVuc3fiw6eFDpYR1yzlxG3ZE-oGqgAedeaOXUWL87XMh8MJ68Lfz55MG3KBoCWUcQAvD_BwE" TargetMode="External"/><Relationship Id="rId149" Type="http://schemas.openxmlformats.org/officeDocument/2006/relationships/hyperlink" Target="https://www.santeconline.com.br/esticador-para-cabo-de-aco-10mm-forjado-frati-05289?gad_source=1&amp;gclid=CjwKCAjw9IayBhBJEiwAVuc3fnCkBsKEhmWKF0RqsQ1jqdVliuUDL14eMVFfoast1kIdZQKPIqcTqhoCVJAQAvD_BwE" TargetMode="External"/><Relationship Id="rId5" Type="http://schemas.openxmlformats.org/officeDocument/2006/relationships/hyperlink" Target="https://www.eletrodex.net/terminais/terminal-pre-isolado-tubular-ilhos" TargetMode="External"/><Relationship Id="rId95" Type="http://schemas.openxmlformats.org/officeDocument/2006/relationships/hyperlink" Target="https://www.novaexaustores.com.br/exaustores/caixa-de-filtragem-em-abs-mod-filbox-red-200" TargetMode="External"/><Relationship Id="rId160" Type="http://schemas.openxmlformats.org/officeDocument/2006/relationships/hyperlink" Target="https://www.novaexaustores.com.br/exaustores/exaustor-para-banheiro-mega-16-bivolt?parceiro=1604&amp;gad_source=1&amp;gclid=CjwKCAjwl4yyBhAgEiwADSEjeEmxifX_Z_rMqG9HBjuazbp2Bk3Uo6aygZ70NVO91eUkOprKCXoEPxoCrOUQAvD_BwE" TargetMode="External"/><Relationship Id="rId181" Type="http://schemas.openxmlformats.org/officeDocument/2006/relationships/hyperlink" Target="https://www.upperseg.com.br/interfonia/acessorios/caixa-acionador-de-emergencia-rearmavel-as-2010-automatiza-intelbras/" TargetMode="External"/><Relationship Id="rId216" Type="http://schemas.openxmlformats.org/officeDocument/2006/relationships/hyperlink" Target="mailto:mituo@luminacril.com.br%20-%20proposta%209471" TargetMode="External"/><Relationship Id="rId22" Type="http://schemas.openxmlformats.org/officeDocument/2006/relationships/hyperlink" Target="https://www.joli.com.br/plugue-tomada-2p-t-juncao-femea-10a-preto-fame/p?idsku=6927&amp;CampanhaInstitucional&amp;gclid=EAIaIQobChMIlJ7Iz5Hh-gIVnUVIAB3C_Q8tEAQYASABEgKPv_D_BwE" TargetMode="External"/><Relationship Id="rId43" Type="http://schemas.openxmlformats.org/officeDocument/2006/relationships/hyperlink" Target="https://www.eletrotrafo.com.br/conector-para-sealtubo-fixo-macho---delcaflex/p?idsku=5824&amp;gclid=EAIaIQobChMIvK7Lyr74_gIVxmxMCh1t8gtcEAQYBCABEgJESfD_BwE" TargetMode="External"/><Relationship Id="rId64" Type="http://schemas.openxmlformats.org/officeDocument/2006/relationships/hyperlink" Target="https://lojashidromar.com.br/product/191227/details?srsltid=AfmBOopqmgbAIdbLJQjYzDXl0yhdPmLcQmX4I47zkDiwdjZDgOEheem_j00" TargetMode="External"/><Relationship Id="rId118" Type="http://schemas.openxmlformats.org/officeDocument/2006/relationships/hyperlink" Target="https://www.pjneblina.com.br/produto/condulete-pvc-multiplo-tipo-l-6-entradas-34-1-polegadas-com-5-polegadas-sem-vedacao-tigre/5189657" TargetMode="External"/><Relationship Id="rId139" Type="http://schemas.openxmlformats.org/officeDocument/2006/relationships/hyperlink" Target="https://www.cec.com.br/ferragens/pregos-parafusos-e-buchas/parafuso/barra-roscada-zincada-1/2-com-1-metro?produto=1357278" TargetMode="External"/><Relationship Id="rId85" Type="http://schemas.openxmlformats.org/officeDocument/2006/relationships/hyperlink" Target="https://www.dimensional.com.br/gravador-digital-de-video-nvd3308p-intelbras/p?idsku=1341448&amp;gad_source=4&amp;gclid=CjwKCAiA5L2tBhBTEiwAdSxJX44GROm6bHiEDMgpfAC2BvyJUHr_VkQoJWN0UB4WyFftLowlD_mkLBoC4JYQAvD_BwE" TargetMode="External"/><Relationship Id="rId150" Type="http://schemas.openxmlformats.org/officeDocument/2006/relationships/hyperlink" Target="https://www.elastobor.com.br/indicador-de-tensao-dully-tf-001-para-linha-de-vida/p?idsku=102044004&amp;srsltid=AfmBOoobOZLz_KiIC8kPrB1XKUYcu2XBycjZfHN9Z0HOeO75hUNnwz5ocRg" TargetMode="External"/><Relationship Id="rId171" Type="http://schemas.openxmlformats.org/officeDocument/2006/relationships/hyperlink" Target="https://www.anhangueraferramentas.com.br/produto/conector-macho-giratorio-2-para-conduite-aco-corrugado-kmzg-200-ekoflex-108705?gad_source=1&amp;gclid=CjwKCAjwupGyBhBBEiwA0UcqaFB5EoVefVFj43hx6QkuPDaJ25t73Qg7srZeJInkBqSjz4uBi5x8aRoCvgkQAvD_BwE" TargetMode="External"/><Relationship Id="rId192" Type="http://schemas.openxmlformats.org/officeDocument/2006/relationships/hyperlink" Target="https://www.americanas.com.br/produto/55349405/display-em-acrilico-cristal-porta-folheto-a4-horizontal?offerId=5c8810c4f216c95bde29bf77&amp;opn=YSMESP&amp;srsltid=AfmBOoroR8tSHWPLHq5TnkpdKzpFyBBH3TZ3kh7pVafUZjHJHkUE3N4WSK4" TargetMode="External"/><Relationship Id="rId206" Type="http://schemas.openxmlformats.org/officeDocument/2006/relationships/hyperlink" Target="https://loja.ccabos.com.br/produtos/cabo-comando-e-controle-2x100mm-blindado-em-malha-de-cobre-nu-preto/?variant=984682670&amp;pf=mc&amp;gad_source=1&amp;gad_campaignid=22401485984&amp;gbraid=0AAAAA-fAh9LXp1OMjJJHbt6uEyr2T2QqH&amp;gclid=Cj0KCQjwlrvBBhDnARIsAHEQgOQKN1v89iXtOjYJiGCsc3pgVvVrNl2cMCTpqxpUIbROQzIE7AuhkBEaAj1CEALw_wcB" TargetMode="External"/><Relationship Id="rId227" Type="http://schemas.openxmlformats.org/officeDocument/2006/relationships/hyperlink" Target="https://www.abcdaconstrucao.com.br/produto/valvula-para-mictorio-horizontal-com-fechamento-automatico-decamatic-eco-cromado-deca-82427?keyword=&amp;creative=&amp;gad_source=1&amp;gad_campaignid=22490608527&amp;gbraid=0AAAAADi3r1EdfxZq5l2Q2OwUSgBUEb2M-&amp;gclid=Cj0KCQjwmK_CBhCEARIsAMKwcD4OYvcxRJFJ8PDwWd4qkZJufgmq_ybi5ezVq5SaJ27lzYMCwmKx7XEaAkKkEALw_wcB" TargetMode="External"/><Relationship Id="rId12" Type="http://schemas.openxmlformats.org/officeDocument/2006/relationships/hyperlink" Target="https://www.upperseg.com.br/informatica/racks/guia-organizador-de-cabos-horizontal-19-1u-preto/" TargetMode="External"/><Relationship Id="rId33" Type="http://schemas.openxmlformats.org/officeDocument/2006/relationships/hyperlink" Target="https://www.santil.com.br/produto/conector-rj45-macho-importado-cat6-oceanoti/470754" TargetMode="External"/><Relationship Id="rId108" Type="http://schemas.openxmlformats.org/officeDocument/2006/relationships/hyperlink" Target="https://www.chatuba.com.br/rodape-100x13mm-240m-lev102-poliestireno-branco-santa-luzia/p?idsku=399902&amp;gad_source=1&amp;gclid=CjwKCAjwi_exBhA8EiwA_kU1MrloIxhHTmMrmcqz1Bu-z_y4DpK72ZOuNN1OEKZHzp6hiDX-ptcjjRoCgjkQAvD_BwE" TargetMode="External"/><Relationship Id="rId129" Type="http://schemas.openxmlformats.org/officeDocument/2006/relationships/hyperlink" Target="https://www.upperseg.com.br/interfonia/controle-de-acesso/botoes-e-botoeiras/botoeira-acionador-de-abertura-inox-embutir-4x2-bt-5000-in-intelbras/?gad_source=1&amp;gclid=CjwKCAjw9IayBhBJEiwAVuc3frmP8rqZ1oRXuZp6qbCmT-28vRLQ3udVVLydGu2HID0QJ9Gh0QZBVBoCU7sQAvD_BwE" TargetMode="External"/><Relationship Id="rId54" Type="http://schemas.openxmlformats.org/officeDocument/2006/relationships/hyperlink" Target="https://www.pjneblina.com.br/produto/unidut-conico-interna-2-polegadas-sem-vedacao-c-pb-daisa/5270665/?gclid=CjwKCAjwgqejBhBAEiwAuWHioNhO_Pf1RmN_DhdeJvpUdmBsFluTdT1juuvNqhlpSdKVw8ff1lCHdRoCzjYQAvD_BwE" TargetMode="External"/><Relationship Id="rId75" Type="http://schemas.openxmlformats.org/officeDocument/2006/relationships/hyperlink" Target="https://wbxracks.com.br/produto/rack-piso-fechado-44u-x-870mm/?gclid=EAIaIQobChMIjoym5ZSJ_wIVKjbUAR1GvgJKEAQYAiABEgLEj_D_BwE" TargetMode="External"/><Relationship Id="rId96" Type="http://schemas.openxmlformats.org/officeDocument/2006/relationships/hyperlink" Target="https://www.lojaartech.com.br/caixa-de-filtragem-filbox-red-150mm-filtro-g4m5-sictell-unico" TargetMode="External"/><Relationship Id="rId140" Type="http://schemas.openxmlformats.org/officeDocument/2006/relationships/hyperlink" Target="https://www.amoedo.com.br/barra-roscada-bemfixa-unc-1-2-/p" TargetMode="External"/><Relationship Id="rId161" Type="http://schemas.openxmlformats.org/officeDocument/2006/relationships/hyperlink" Target="https://www.leroymerlin.com.br/kit-exaustor-para-banheiro-mega-34-6-bivolt_1566953256" TargetMode="External"/><Relationship Id="rId182" Type="http://schemas.openxmlformats.org/officeDocument/2006/relationships/hyperlink" Target="mailto:mituo@luminacril.com.br%20-%20proposta%209471" TargetMode="External"/><Relationship Id="rId217" Type="http://schemas.openxmlformats.org/officeDocument/2006/relationships/hyperlink" Target="mailto:mituo@luminacril.com.br%20-%20proposta%209471" TargetMode="External"/><Relationship Id="rId6" Type="http://schemas.openxmlformats.org/officeDocument/2006/relationships/hyperlink" Target="https://www.eletricaarea.com.br/automacao/controladores/conector-macho-giratorio-1-bsp" TargetMode="External"/><Relationship Id="rId23" Type="http://schemas.openxmlformats.org/officeDocument/2006/relationships/hyperlink" Target="https://www.dimensional.com.br/plugue-femea-energia-predial-femea-preto-2-polos-terra-250-v-10-a-57403053-tramontina/p?idsku=862176&amp;gclid=EAIaIQobChMIlJ7Iz5Hh-gIVnUVIAB3C_Q8tEAQYCCABEgJATPD_BwE" TargetMode="External"/><Relationship Id="rId119" Type="http://schemas.openxmlformats.org/officeDocument/2006/relationships/hyperlink" Target="https://www.leroymerlin.com.br/caixa-para-condulete-3-4-4x2-sem-rosca-6-entradas-pvc-tigre_86659510" TargetMode="External"/><Relationship Id="rId44" Type="http://schemas.openxmlformats.org/officeDocument/2006/relationships/hyperlink" Target="https://www.lojaehe.com.br/eletrica/quadro-de-comando/quadro-comando-30x30x20-cm-caixa-de-motagem-30x30x20-cm?parceiro=6256&amp;gclid=EAIaIQobChMItdn2u_H__gIVEzrUAR101Q_DEAQYAyABEgJ7KPD_BwE&amp;variant_id=25" TargetMode="External"/><Relationship Id="rId65" Type="http://schemas.openxmlformats.org/officeDocument/2006/relationships/hyperlink" Target="https://loja.eletronor.com.br/terminal-p-isolado-forq-15x25mm-az-ref--g-1009-4---axt-01/p?idsku=87&amp;srsltid=AR57-fCVFBu0pAIOnHFLu93YeZzutjLDCIfXQPDHDiRVmT6wabs9lFaoRsc" TargetMode="External"/><Relationship Id="rId86" Type="http://schemas.openxmlformats.org/officeDocument/2006/relationships/hyperlink" Target="https://www.tudoforte.com.br/id-em-branco-20590?parceiro=6347&amp;utm_source=google&amp;utm_medium=cpc&amp;utm_term=&amp;campaignid=16698014837&amp;adgroupid=&amp;targetid=&amp;adid=&amp;rnd=13940681827045090774&amp;gad_source=4&amp;gclid=CjwKCAiA5L2tBhBTEiwAdSxJX0JVDyGL6oeqpCLOZ_PoU6_poBAxvOxBAiwbgcv13YTzxLxrnuMBQxoCnusQAvD_BwE" TargetMode="External"/><Relationship Id="rId130" Type="http://schemas.openxmlformats.org/officeDocument/2006/relationships/hyperlink" Target="https://www.cadmoferramentas.com.br/MLB-3561259525-controle-de-acesso-ip-poe-para-1-porta-kantech-tyco-kt-1-_JM" TargetMode="External"/><Relationship Id="rId151" Type="http://schemas.openxmlformats.org/officeDocument/2006/relationships/hyperlink" Target="https://www.spelaionloja.com/profissional/absorvedores-de-energia/asap-sorber-absorvedor-de-energia-petzl?variant_id=767" TargetMode="External"/><Relationship Id="rId172" Type="http://schemas.openxmlformats.org/officeDocument/2006/relationships/hyperlink" Target="https://www.santil.com.br/produto/condulete-multiplo-l-aluminio-2-polegada-com-tampa-cega-tramontina/1965247?gad_source=1&amp;gclid=CjwKCAjwupGyBhBBEiwA0UcqaHP2Qp2KFe76vYckWG5LLLb1T_eymnYVJJJVRIgWtGaCkBH6roRXgxoCTzsQAvD_BwE" TargetMode="External"/><Relationship Id="rId193" Type="http://schemas.openxmlformats.org/officeDocument/2006/relationships/hyperlink" Target="https://www.kalunga.com.br/prod/quadro-de-aviso-office-a4-frontal-10090013-maxcril-pt-1-un/632881?cq_src=google_ads&amp;cq_cmp=17062280850&amp;cq_con=&amp;cq_term=&amp;cq_med=pla&amp;cq_plac=&amp;cq_net=x&amp;cq_pos=&amp;cq_plt=gp&amp;pcID=3901&amp;gad_source=4&amp;gclid=CjwKCAiAh6y9BhBREiwApBLHCyjZn4614urKWR5e4-KUciJvrG8CTwq_h4Kig1c1gx_jybCwpxJHAhoCho0QAvD_BwE" TargetMode="External"/><Relationship Id="rId207" Type="http://schemas.openxmlformats.org/officeDocument/2006/relationships/hyperlink" Target="https://loja.safeprotection.com.br/acessorios/indicador-de-tensao-dully-dlt-001" TargetMode="External"/><Relationship Id="rId228" Type="http://schemas.openxmlformats.org/officeDocument/2006/relationships/hyperlink" Target="https://www.fiberfix.com.br/dio-48fo-completo-conector-sc-apc-2flex-759-1?srsltid=AfmBOorFUncCSM3Qr-4BmZuWke80tbFKEK2QBs9-wFQ0p4Zdjz4KrREc" TargetMode="External"/><Relationship Id="rId13" Type="http://schemas.openxmlformats.org/officeDocument/2006/relationships/hyperlink" Target="https://www.marmota.com.br/terminal-pre-isolado-ilhos-2-5mm-azul-ti-2-5-8-intelli-p49037" TargetMode="External"/><Relationship Id="rId109" Type="http://schemas.openxmlformats.org/officeDocument/2006/relationships/hyperlink" Target="https://www.obramax.com.br/rodape-poliestireno-liso-fn10-branco-10x200cm-89671533/p?idsku=35597&amp;region_id=20930040&amp;gad_source=1&amp;gclid=CjwKCAjwi_exBhA8EiwA_kU1MjS4dXNtcCLa1h-WHzWKV7Swt1gxtknuHRBKulKiuAFPYL467KiZSRoC5i8QAvD_BwE" TargetMode="External"/><Relationship Id="rId34" Type="http://schemas.openxmlformats.org/officeDocument/2006/relationships/hyperlink" Target="https://www.teky.com.br/7937/canaleta-aluminio-lisa-com-divisoria-53x15x2000mm-com-tampa-branca-dutotec-x-dutotec?srsltid=AR57-fAsI5kNdl-exBjox9nOEc7uAShhshf-elrVPdnN2gfuZG6psw10ceE" TargetMode="External"/><Relationship Id="rId55" Type="http://schemas.openxmlformats.org/officeDocument/2006/relationships/hyperlink" Target="https://www.santil.com.br/produto/unidut-conico-aluminio-2-polegadas-tramontina/1965290?gad_source=4&amp;gclid=Cj0KCQiAnrOtBhDIARIsAFsSe52FvOQxhQ3TzMvR0fxYNbXsKcEI0mVL2mHaBRmxdfMqXRzHnaGhbqAaAsVwEALw_wcB" TargetMode="External"/><Relationship Id="rId76" Type="http://schemas.openxmlformats.org/officeDocument/2006/relationships/hyperlink" Target="https://racksaopaulo.com.br/produto/rack-fechado-44u/?gclid=EAIaIQobChMIjoym5ZSJ_wIVKjbUAR1GvgJKEAQYAyABEgIRavD_BwE" TargetMode="External"/><Relationship Id="rId97" Type="http://schemas.openxmlformats.org/officeDocument/2006/relationships/hyperlink" Target="https://www.frioshopping.com/exaustores/caixa-de-filtragem/filbox-red/caixa-de-filtragem-filbox-red-200-sicflux-g4m5-220v" TargetMode="External"/><Relationship Id="rId120" Type="http://schemas.openxmlformats.org/officeDocument/2006/relationships/hyperlink" Target="https://www.pjneblina.com.br/produto/bucha-34-polegadas-para-eletroduto-aluminio-wetzel/5285649" TargetMode="External"/><Relationship Id="rId141" Type="http://schemas.openxmlformats.org/officeDocument/2006/relationships/hyperlink" Target="https://www.leroymerlin.com.br/sapatilha-de-aco-zincado-para-cabo-de-aco-10mm-carbografite_92164660" TargetMode="External"/><Relationship Id="rId7" Type="http://schemas.openxmlformats.org/officeDocument/2006/relationships/hyperlink" Target="https://www.lojafioforte.com.br/caixa-de-luz-4x2-retangular-amarela?utm_source=Site&amp;utm_medium=GoogleMerchant&amp;utm_campaign=GoogleMerchant&amp;gclid=EAIaIQobChMIxOv0gZHh-gIVQUJIAB2jTwOkEAQYAiABEgIWwfD_BwE" TargetMode="External"/><Relationship Id="rId162" Type="http://schemas.openxmlformats.org/officeDocument/2006/relationships/hyperlink" Target="https://www.casafernandesonline.com.br/produto/caixa-de-equipotencializacao-20x20-embutir-c-9-terminais.html" TargetMode="External"/><Relationship Id="rId183" Type="http://schemas.openxmlformats.org/officeDocument/2006/relationships/hyperlink" Target="mailto:engenharia.apl02@engetron.com.br" TargetMode="External"/><Relationship Id="rId218" Type="http://schemas.openxmlformats.org/officeDocument/2006/relationships/hyperlink" Target="mailto:mituo@luminacril.com.br%20-%20proposta%209471" TargetMode="External"/><Relationship Id="rId24" Type="http://schemas.openxmlformats.org/officeDocument/2006/relationships/hyperlink" Target="https://www.dimensional.com.br/cabo-fibra-optica-interna-externa-monomodo-12-opticlan-furukawa/p?idsku=733828&amp;gclid=CjwKCAjwgqejBhBAEiwAuWHioNaUx8nrLwsRv6a9yuSA4R_EGauiqsMIljr0Te37HyyXXCs78ModkhoCSi0QAvD_BwE" TargetMode="External"/><Relationship Id="rId45" Type="http://schemas.openxmlformats.org/officeDocument/2006/relationships/hyperlink" Target="https://www.dimensional.com.br/quadro-comando-sobrepor-aco-carbono-bege-ral-7032-200-mm-200-mm-120-mm/p?idsku=250737&amp;gad_source=4&amp;gclid=Cj0KCQiA2KitBhCIARIsAPPMEhIN-AnZ9SswFzTrwiKo2IsBEvi584GwbhkaWVaC9HXywmBeH7_WUOYaAsweEALw_wcB" TargetMode="External"/><Relationship Id="rId66" Type="http://schemas.openxmlformats.org/officeDocument/2006/relationships/hyperlink" Target="https://www.eletrotrafo.com.br/terminal-pre-isol-forquilha-azul--15-a-25mm----penzel/p?idsku=4297&amp;gclid=CjwKCAjw36GjBhAkEiwAKwIWyfeJ4GY7fzmpqwQ_Fo0FXazEDjDHkUN0MD-5mnnsEi3sj9rwUp0y3BoC3CQQAvD_BwE" TargetMode="External"/><Relationship Id="rId87" Type="http://schemas.openxmlformats.org/officeDocument/2006/relationships/hyperlink" Target="https://www.upperseg.com.br/buscape/fechadura-eletroima-magnetica-universal-fe-20150-com-sensor-intelbras/" TargetMode="External"/><Relationship Id="rId110" Type="http://schemas.openxmlformats.org/officeDocument/2006/relationships/hyperlink" Target="https://www.leroymerlin.com.br/rodape-de-poliestireno-frisado-scandian-15mmx20cmx2,40m-metro-linear-caixa-com-2,4-m-preto_1571516799" TargetMode="External"/><Relationship Id="rId131" Type="http://schemas.openxmlformats.org/officeDocument/2006/relationships/hyperlink" Target="https://loja.vsautomacao.net.br/controle-de-acesso/controladora-de-acesso-ip-porta-kantech-tyco-kt-1" TargetMode="External"/><Relationship Id="rId152" Type="http://schemas.openxmlformats.org/officeDocument/2006/relationships/hyperlink" Target="https://www.copafer.com.br/caixa-5-entradas-condulete-top-36005319-tigre-p1108886" TargetMode="External"/><Relationship Id="rId173" Type="http://schemas.openxmlformats.org/officeDocument/2006/relationships/hyperlink" Target="https://www.tramontina.com.br/condulete-multiplo-2%22-tramontina-tipo-l-com-tampa/56200016.html?gad_source=1&amp;gclid=CjwKCAjwupGyBhBBEiwA0UcqaKXyDZCNSFnQ3sfjgpgvktGPVZhzom1bdDhfhFCGDmGaAnoxb3FWzhoC1-cQAvD_BwE" TargetMode="External"/><Relationship Id="rId194" Type="http://schemas.openxmlformats.org/officeDocument/2006/relationships/hyperlink" Target="https://www.meuacrilico.com.br/display/a4-vertical/disply-acrilico-de-parede-a4-vertical?parceiro=2119&amp;gad_source=4&amp;gclid=CjwKCAiAh6y9BhBREiwApBLHC0wuYFWoXVGF_225eL8b9kAZFLXy-06gHa7o4Wl3DcbGZFO6laYJSxoCnv0QAvD_BwE" TargetMode="External"/><Relationship Id="rId208" Type="http://schemas.openxmlformats.org/officeDocument/2006/relationships/hyperlink" Target="https://www.cimm.com.br/portal/produtos/exibir/42572-airgate-modbus-gateway-wireless-modbus" TargetMode="External"/><Relationship Id="rId229" Type="http://schemas.openxmlformats.org/officeDocument/2006/relationships/hyperlink" Target="https://www.ferramentaskennedy.com.br/conector-box-1-reto-pvc-cinza-inpol/p?idsku=37102&amp;utm_source=google&amp;utm_medium=cpc&amp;utm_campaign=21841842392&amp;kwd=&amp;matchtype=&amp;adset_id=&amp;device=c&amp;gad_source=1&amp;gad_campaignid=21845779903&amp;gbraid=0AAAAADyLiV-2E1yjCJWy1rfBg5nvmBGCM&amp;gclid=EAIaIQobChMIyevk-LWyjQMVCVRIAB2D_zmjEAQYASABEgLqy_D_BwE" TargetMode="External"/><Relationship Id="rId14" Type="http://schemas.openxmlformats.org/officeDocument/2006/relationships/hyperlink" Target="https://www.marmota.com.br/terminal-pre-isolado-ilhos-4mm-cinza-ti-4-12-intelli-p49019" TargetMode="External"/><Relationship Id="rId35" Type="http://schemas.openxmlformats.org/officeDocument/2006/relationships/hyperlink" Target="https://www.magazineluiza.com.br/voice-panel-50-portas-telefonia-rj45-11-c-guia-e-aterramento-paralelo/p/dba5db656h/rc/rcnm/?&amp;seller_id=hr2tech1&amp;utm_source=google&amp;utm_medium=pla&amp;utm_campaign=&amp;partner_id=69104&amp;gclid=Cj0KCQjw08aYBhDlARIsAA_gb0fR2m6XGoqFbxzv4X_h9sTVaG4FEcBdo_btQJaq1nOgBHVQy2LRpi0aAh_QEALw_wcB&amp;gclsrc=aw.ds" TargetMode="External"/><Relationship Id="rId56" Type="http://schemas.openxmlformats.org/officeDocument/2006/relationships/hyperlink" Target="https://www.pjneblina.com.br/produto/bucha-para-eletroduto-aluminio-1-polegada-wetzel/5285647/?gclid=CjwKCAjwgqejBhBAEiwAuWHioEi3Yt6CCpmUQg91FWBdIENg7fRqSclx5SR0Dn3D1JSRb5Hiq7iANxoCYsUQAvD_BwE" TargetMode="External"/><Relationship Id="rId77" Type="http://schemas.openxmlformats.org/officeDocument/2006/relationships/hyperlink" Target="https://netcomputadores.com.br/p/35260163-furukawa-modulo-basico-dio/12173" TargetMode="External"/><Relationship Id="rId100" Type="http://schemas.openxmlformats.org/officeDocument/2006/relationships/hyperlink" Target="https://www.teky.com.br/646a5a24d496504d21deb78b/conector-unidut-conico-aluminio-34-cbolsa-e-rosca-bsp-wetzel-s.a?srsltid=AfmBOorL6km7bInWssIhk6LvT2zjrShlqOw2z0vycyFp8ZYpLWCfAAUEf9w" TargetMode="External"/><Relationship Id="rId8" Type="http://schemas.openxmlformats.org/officeDocument/2006/relationships/hyperlink" Target="https://www.obramax.com.br/caixinha-de-embutir-4x2-para-alvenaria-amarela-tigreflex-89011573.html?region_id=138911&amp;gclid=EAIaIQobChMIxOv0gZHh-gIVQUJIAB2jTwOkEAQYAyABEgLfAvD_BwE" TargetMode="External"/><Relationship Id="rId98" Type="http://schemas.openxmlformats.org/officeDocument/2006/relationships/hyperlink" Target="https://www.chatuba.com.br/valvula-de-mictorio-c-fechamento-automatico-decamatic-eco-cromado-deca/p?idsku=2181&amp;gad_source=4&amp;gclid=Cj0KCQjwxeyxBhC7ARIsAC7dS39rAwSj_ZPxyqRQglHIPenMBBOFdBZg1SZMsi1kZkjPbElu_VlBDrAaAkzVEALw_wcB" TargetMode="External"/><Relationship Id="rId121" Type="http://schemas.openxmlformats.org/officeDocument/2006/relationships/hyperlink" Target="https://tudolampadas.sigeloja.com.br/Produto/62a3ab1b4160617f9710aa8b/Caixas-E-Conduletes/BUCHA-3/4%22-ALUMINIO-BSP-TRAMONTINA" TargetMode="External"/><Relationship Id="rId142" Type="http://schemas.openxmlformats.org/officeDocument/2006/relationships/hyperlink" Target="https://www.multiseg.com.br/3907/sapatilha-galvanizada-para-cabo-de-ao-3-8-10mm?gad_source=1&amp;gclid=CjwKCAjw9IayBhBJEiwAVuc3fr-GlONJfFUiSCq8oYjKIAAGYJJ2ZlQ8_x5uulpI947rPyJGakGybhoCzjEQAvD_BwE" TargetMode="External"/><Relationship Id="rId163" Type="http://schemas.openxmlformats.org/officeDocument/2006/relationships/hyperlink" Target="https://www.lojaeletrica.com.br/caixa-equalizacao-terra-250x200x100-9t-tel901,product,2410203600415,dept,0.aspx" TargetMode="External"/><Relationship Id="rId184" Type="http://schemas.openxmlformats.org/officeDocument/2006/relationships/hyperlink" Target="mailto:vendas@engeduto.com.br" TargetMode="External"/><Relationship Id="rId219" Type="http://schemas.openxmlformats.org/officeDocument/2006/relationships/hyperlink" Target="mailto:mituo@luminacril.com.br%20-%20proposta%209471" TargetMode="External"/><Relationship Id="rId230" Type="http://schemas.openxmlformats.org/officeDocument/2006/relationships/hyperlink" Target="https://www.espacodaeletrica.com.br/infraestrutura/conduletes/linha-cinza/inpol-condul-conector-box-reto-cinza-12?variant_id=93" TargetMode="External"/><Relationship Id="rId25" Type="http://schemas.openxmlformats.org/officeDocument/2006/relationships/hyperlink" Target="https://produto.mercadolivre.com.br/MLB-3310291629-cabo-fibra-optica-12fo-internoexterno-furukawa-50-metros-_JM?matt_tool=10738792&amp;matt_word=&amp;matt_source=google&amp;matt_campaign_id=14504862881&amp;matt_ad_group_id=131120366102&amp;matt_match_type=&amp;matt_network=g&amp;matt_device=c&amp;matt_creative=584156655579&amp;matt_keyword=&amp;matt_ad_position=&amp;matt_ad_type=pla&amp;matt_merchant_id=227406763&amp;matt_product_id=MLB3310291629&amp;matt_product_partition_id=1799135963642&amp;matt_target_id=pla-1799135963642&amp;gclid=CjwKCAjwgqejBhBAEiwAuWHioLgo9Ph8rz7AAjdjACB8aydYFeZd-5eMt1Nw1GmGuWuP2EEaAY7E1RoChYUQAvD_BwE" TargetMode="External"/><Relationship Id="rId46" Type="http://schemas.openxmlformats.org/officeDocument/2006/relationships/hyperlink" Target="https://www.lojadomecanico.com.br/produto/149507/49/788/MicroScanner-Verificador-de-Falhas-MS2-100/153/?utm_source=googleshopping&amp;utm_campaign=xmlshopping&amp;utm_medium=cpc&amp;utm_content=149507&amp;gclid=EAIaIQobChMI6M7BgPX__gIVtjrUAR25oQjSEAYYASABEgKhePD_BwE" TargetMode="External"/><Relationship Id="rId67" Type="http://schemas.openxmlformats.org/officeDocument/2006/relationships/hyperlink" Target="https://www.fibrastore.com.br/cart?appSectionParams=%7B%22origin%22%3A%22cart-popup%22%7D" TargetMode="External"/><Relationship Id="rId116" Type="http://schemas.openxmlformats.org/officeDocument/2006/relationships/hyperlink" Target="https://www.celet.com.br/box-reto-pvc-1-para-eletroduto-cinza-inpol" TargetMode="External"/><Relationship Id="rId137" Type="http://schemas.openxmlformats.org/officeDocument/2006/relationships/hyperlink" Target="https://www.lojastamoyo.com.br/produto/chumbador-quimico-bi-componente-ampola-12mm-aqa12-ancora-109294" TargetMode="External"/><Relationship Id="rId158" Type="http://schemas.openxmlformats.org/officeDocument/2006/relationships/hyperlink" Target="https://www.dimensional.com.br/1033503-caixa-de-passagem-aluminio-redondo-para-cameras-dome-e-bullet-uso-interno-externo-vbox5000e-intelbras/p?idsku=1033503&amp;gad_source=1&amp;gclid=CjwKCAjwl4yyBhAgEiwADSEjeBcpmSeBiMQZY1cssBYWOvtqm1qXPibvVwfZUpseJDZySd25uBqZ9BoCV1AQAvD_BwE" TargetMode="External"/><Relationship Id="rId20" Type="http://schemas.openxmlformats.org/officeDocument/2006/relationships/hyperlink" Target="https://www.eletricaarea.com.br/material-eletrico/conduletes-e-acessorios/unidut-conico-2-92133?parceiro=1263&amp;gclid=EAIaIQobChMIr9rE3fDg-gIVDUWRCh0WhAiNEAQYASABEgLkyPD_BwE" TargetMode="External"/><Relationship Id="rId41" Type="http://schemas.openxmlformats.org/officeDocument/2006/relationships/hyperlink" Target="https://www.segurancaetelecom.com.br/p/suporte-para-fechadura-eletroima-fe-21150-d-para-portas-de-vidro-sv-21150-d?gclid=EAIaIQobChMIgNOv0anm-gIVguBcCh3Xfg8oEAQYBSABEgJBoPD_BwE" TargetMode="External"/><Relationship Id="rId62" Type="http://schemas.openxmlformats.org/officeDocument/2006/relationships/hyperlink" Target="https://www.bernalonline.com.br/caixa-de-luz-4x2-tramontina-524-p16017?tsid=27&amp;gad=1&amp;gclid=EAIaIQobChMIiODAmeb__gIVfSfUAR3_nAEfEAQYCSABEgJRrvD_BwE" TargetMode="External"/><Relationship Id="rId83" Type="http://schemas.openxmlformats.org/officeDocument/2006/relationships/hyperlink" Target="https://www.madeiramadeira.com.br/gravador-de-video-ip-nvr-32-canais-8-mp-4k-nvd-1432-intelbras-155052421.html?id=155052421" TargetMode="External"/><Relationship Id="rId88" Type="http://schemas.openxmlformats.org/officeDocument/2006/relationships/hyperlink" Target="https://www.netalarmes.com.br/fechadura-eletroima-intelbras-fe-20150-150-kgf-com-sensor" TargetMode="External"/><Relationship Id="rId111" Type="http://schemas.openxmlformats.org/officeDocument/2006/relationships/hyperlink" Target="https://www.chatuba.com.br/rodape-black-3480-santa-luzia/p?idsku=396332&amp;gad_source=1&amp;gclid=CjwKCAjwi_exBhA8EiwA_kU1MngXVA7rMZsvxC7g6CkUT3N5Sl5aO2qvqJhnp-kuWnexmVvSu8GImxoCuGMQAvD_BwE" TargetMode="External"/><Relationship Id="rId132" Type="http://schemas.openxmlformats.org/officeDocument/2006/relationships/hyperlink" Target="https://www.netalarmes.com.br/camera-dome-intelbras-vhd-3220-mini-d-multi-hd-2mp-2-8mm-ip67?parceiro=8046&amp;parceiro=8764&amp;gad_source=1&amp;gclid=CjwKCAjw9IayBhBJEiwAVuc3ftj-hWEX5VvgFCnKh8eVlT_1kl0TBuLQzdVnCtbTf4dD4rld1EI_FxoCJykQAvD_BwE" TargetMode="External"/><Relationship Id="rId153" Type="http://schemas.openxmlformats.org/officeDocument/2006/relationships/hyperlink" Target="https://www.pjneblina.com.br/produto/condulete-pvc-multiplo-tipo-x-5-entradas-34-1-polegadas-com-4-polegadas-sem-ved/5454982" TargetMode="External"/><Relationship Id="rId174" Type="http://schemas.openxmlformats.org/officeDocument/2006/relationships/hyperlink" Target="https://www.dimensional.com.br/condulete-metalico-multiplo-aluminio-x-2--com-tampa-sem-pintura-56200006-tramontinaeletrica/p?idsku=49217&amp;gad_source=1&amp;gclid=CjwKCAjwupGyBhBBEiwA0UcqaFToMGT6q9ol0lkJvJ-w9LzE1BUy0ZLdbaV3J24atWo77DLr4XW-GRoCdg4QAvD_BwE" TargetMode="External"/><Relationship Id="rId179" Type="http://schemas.openxmlformats.org/officeDocument/2006/relationships/hyperlink" Target="https://yamamotto.com.br/produto/acionador-de-emergencia-rearmavel-intelbras-as-2010" TargetMode="External"/><Relationship Id="rId195" Type="http://schemas.openxmlformats.org/officeDocument/2006/relationships/hyperlink" Target="https://www.eletrorastro.com.br/produto/unidut-multiplo-adaptador-de-1-1-2-para-1-1-4-tramontina-90747?utm_source=google&amp;utm_medium=cpc&amp;utm_campaign=&amp;gclid=EAIaIQobChMIybjWj6KA_wIVRcKRCh1UXgJuEAQYAyABEgIu2_D_BwE" TargetMode="External"/><Relationship Id="rId209" Type="http://schemas.openxmlformats.org/officeDocument/2006/relationships/hyperlink" Target="mailto:mituo@luminacril.com.br%20-%20proposta%209471" TargetMode="External"/><Relationship Id="rId190" Type="http://schemas.openxmlformats.org/officeDocument/2006/relationships/hyperlink" Target="https://www.rhmateriaiseletricos.com.br/gateway-wireless-airgater-modbus-8816041310?variation=9567016&amp;srsltid=AfmBOooBDRmgWYNOTFDyvrog1mCMzZXKQPgYkgyLDGyyFKu_jHWkV1Itu4k" TargetMode="External"/><Relationship Id="rId204" Type="http://schemas.openxmlformats.org/officeDocument/2006/relationships/hyperlink" Target="https://www.amoedo.com.br/tomada-2p-t-dupla-10a-675062-nbr-sistema-x/p?idsku=1692099&amp;region_id=101021&amp;gad_source=1&amp;gclid=Cj0KCQjw3ZayBhDRARIsAPWzx8ov8iS7x1k-5gOQuVNe0vSSFWnSgfw0_63MXydO4r4Y_dK3GC_iPdEaAlIWEALw_wcB" TargetMode="External"/><Relationship Id="rId220" Type="http://schemas.openxmlformats.org/officeDocument/2006/relationships/hyperlink" Target="mailto:mituo@luminacril.com.br%20-%20proposta%209471" TargetMode="External"/><Relationship Id="rId225" Type="http://schemas.openxmlformats.org/officeDocument/2006/relationships/hyperlink" Target="https://www.leroymerlin.com.br/manilha-p--cabo-de-aco-3-8-reta-pesado-galv-vonder-plus_1566879373" TargetMode="External"/><Relationship Id="rId15" Type="http://schemas.openxmlformats.org/officeDocument/2006/relationships/hyperlink" Target="https://www.eletrodex.net/terminais/terminal-pre-isolado-tubular-ilhos" TargetMode="External"/><Relationship Id="rId36" Type="http://schemas.openxmlformats.org/officeDocument/2006/relationships/hyperlink" Target="https://www.hdstore.com.br/bandeja-fixa-max-eletron-19-pol-250mm-preto-4562?gclid=EAIaIQobChMIpc26zaLm-gIV8uBcCh18NgVQEAQYBCABEgKKxfD_BwE" TargetMode="External"/><Relationship Id="rId57" Type="http://schemas.openxmlformats.org/officeDocument/2006/relationships/hyperlink" Target="https://www.magazineluiza.com.br/bucha-1-tramontina/p/ebch0j0488/fs/buch/?&amp;seller_id=expresso102" TargetMode="External"/><Relationship Id="rId106" Type="http://schemas.openxmlformats.org/officeDocument/2006/relationships/hyperlink" Target="https://www.cftvclube.com.br/alarmes/sensores-sem-fio/sensor-de-abertura-magnetico/sensor-magnetico-cfio-xas-porta-aco-mini?parceiro=2410&amp;parceiro=7283&amp;gad_source=1&amp;gclid=Cj0KCQjwxeyxBhC7ARIsAC7dS3_mBfXRHBGKrx2hvrjkSotbKGKlWNPP2810PC1_XtcmPfmYMVhNHqEaAtriEALw_wcB" TargetMode="External"/><Relationship Id="rId127" Type="http://schemas.openxmlformats.org/officeDocument/2006/relationships/hyperlink" Target="https://www.eletricaarea.com.br/material-eletrico/conduletes-e-acessorios/adaptador-condulete-top-34" TargetMode="External"/><Relationship Id="rId10" Type="http://schemas.openxmlformats.org/officeDocument/2006/relationships/hyperlink" Target="https://www.eletricaarea.com.br/material-eletrico/quadros-e-caixas/caixa-pvc-4x2-drywall?parceiro=1263&amp;gclid=EAIaIQobChMIrMmd-I3h-gIVAWuRCh2yXQnYEAQYBSABEgIICPD_BwE" TargetMode="External"/><Relationship Id="rId31" Type="http://schemas.openxmlformats.org/officeDocument/2006/relationships/hyperlink" Target="https://www.americanas.com.br/produto/2489825453?opn=YSMESP&amp;offerId=62bde6782376eb9c7240781c&amp;srsltid=AdGWZVSnzS0XHdPeICPIY2CKOd6kWno-wJPVjSrRlu60SPs9pF60_jvkJBo" TargetMode="External"/><Relationship Id="rId52" Type="http://schemas.openxmlformats.org/officeDocument/2006/relationships/hyperlink" Target="https://www.tramontina.com.br/condulete-multiplo-1%22-tramontina-tipo-l-com-tampa/56200013.html?srsltid=AfmBOooY6wKoedyAOhuHeNwN5yMDzUvu6xI2cYXEMzKvHYXIICCPqZPwhH4" TargetMode="External"/><Relationship Id="rId73" Type="http://schemas.openxmlformats.org/officeDocument/2006/relationships/hyperlink" Target="https://www.dimensional.com.br/conector-rj-45-macho-categoria-5e-incolor-pacote-com-500-pecas-sohoplus-35050290-furukawa/p?idsku=520818&amp;gad_source=4&amp;gclid=CjwKCAiA5L2tBhBTEiwAdSxJX54PBZ8uI9GribkBHz4OCGfDRroakfsebJJFLm5rlUIHWQBKkaWHBBoC-vMQAvD_BwE" TargetMode="External"/><Relationship Id="rId78" Type="http://schemas.openxmlformats.org/officeDocument/2006/relationships/hyperlink" Target="https://www.centralcabos.com.br/guia-de-cabos-1u-preto/p?idsku=1078554&amp;gad=1&amp;gclid=EAIaIQobChMIn7yU8Z2C_wIVBMKRCh1F1AMdEAQYCCABEgJMX_D_BwE" TargetMode="External"/><Relationship Id="rId94" Type="http://schemas.openxmlformats.org/officeDocument/2006/relationships/hyperlink" Target="https://loja.multivac.com.br/cfm-500-220v-caixa-de-ventilacao" TargetMode="External"/><Relationship Id="rId99" Type="http://schemas.openxmlformats.org/officeDocument/2006/relationships/hyperlink" Target="https://www.santil.com.br/produto/unidut-conico-aluminio-34-polegada-reflumi/5501141" TargetMode="External"/><Relationship Id="rId101" Type="http://schemas.openxmlformats.org/officeDocument/2006/relationships/hyperlink" Target="https://www.inframateriaiseletricos.com.br/unidut-conico-3-4?utm_source=Site&amp;utm_medium=GoogleShopping&amp;utm_campaign=IntegracaoGoogle" TargetMode="External"/><Relationship Id="rId122" Type="http://schemas.openxmlformats.org/officeDocument/2006/relationships/hyperlink" Target="https://www.santil.com.br/produto/bucha-para-eletroduto-em-aluminio-34-metalurgica-inca/2726662" TargetMode="External"/><Relationship Id="rId143" Type="http://schemas.openxmlformats.org/officeDocument/2006/relationships/hyperlink" Target="https://varejo.wurth.com.br/p/7491065/sapatilho-para-cabo-de-aco-10mm-embalagem-com-25-unidades-wurth-052209-525-kit?gad_source=1&amp;gclid=CjwKCAjw9IayBhBJEiwAVuc3fp1YJvBKh3rzrpP7VLVp3uyJP1IOsOTvx1GBOjOdCSL3Y0L_SMkwaxoC8fEQAvD_BwE" TargetMode="External"/><Relationship Id="rId148" Type="http://schemas.openxmlformats.org/officeDocument/2006/relationships/hyperlink" Target="https://www.ferramentaskennedy.com.br/100040799/esticador-cabo-aco-3-8%E2%80%9D-gancho-x-olhal-acerosid-5-pecas" TargetMode="External"/><Relationship Id="rId164" Type="http://schemas.openxmlformats.org/officeDocument/2006/relationships/hyperlink" Target="https://www.multiseg.com.br/718/caixa-de-equalizao-equipotencializao-20-x-20-x-12-sobrepor-9-terminais" TargetMode="External"/><Relationship Id="rId169" Type="http://schemas.openxmlformats.org/officeDocument/2006/relationships/hyperlink" Target="https://www.eletrosul.com.br/materiais-eletricos/conectores/conector-macho-bsp-giratorio-para-duto-metalico-2-0" TargetMode="External"/><Relationship Id="rId185" Type="http://schemas.openxmlformats.org/officeDocument/2006/relationships/hyperlink" Target="https://www.otobel.com.br/dnpkyc0ow-sistema-de-ventilacao-otobel" TargetMode="External"/><Relationship Id="rId4" Type="http://schemas.openxmlformats.org/officeDocument/2006/relationships/hyperlink" Target="https://www.eletrotrafo.com.br/terminal-pre-isol-pino-ilhos-tubular-cz--075mm--ti-075-8-intelli-penzel-70013193/p?idsku=6859&amp;gclid=EAIaIQobChMI1q7Y8a3e-gIVQ-ZcCh0pfAUXEAQYCCABEgKnC_D_BwE" TargetMode="External"/><Relationship Id="rId9" Type="http://schemas.openxmlformats.org/officeDocument/2006/relationships/hyperlink" Target="https://www.obramax.com.br/caixinha-de-embutir-4x2-para-drywall-amanco-89534655.html?region_id=138911&amp;gclid=EAIaIQobChMIxv-7543h-gIVEzaRCh2c4Q7HEAQYAiABEgLzQfD_BwE" TargetMode="External"/><Relationship Id="rId180" Type="http://schemas.openxmlformats.org/officeDocument/2006/relationships/hyperlink" Target="https://www.eletronicasantana.com.br/acionador-de-emergencia-rearmavel-as-2010-intelbras-9008618/p" TargetMode="External"/><Relationship Id="rId210" Type="http://schemas.openxmlformats.org/officeDocument/2006/relationships/hyperlink" Target="mailto:mituo@luminacril.com.br%20-%20proposta%209471" TargetMode="External"/><Relationship Id="rId215" Type="http://schemas.openxmlformats.org/officeDocument/2006/relationships/hyperlink" Target="mailto:mituo@luminacril.com.br%20-%20proposta%209471" TargetMode="External"/><Relationship Id="rId26" Type="http://schemas.openxmlformats.org/officeDocument/2006/relationships/hyperlink" Target="https://www.dimensional.com.br/cordao-optico-sm-1f-lszh-az-fc-apc-sc-upc-20m-33004442-furukawa/p" TargetMode="External"/><Relationship Id="rId231" Type="http://schemas.openxmlformats.org/officeDocument/2006/relationships/printerSettings" Target="../printerSettings/printerSettings1.bin"/><Relationship Id="rId47" Type="http://schemas.openxmlformats.org/officeDocument/2006/relationships/hyperlink" Target="https://www.anhangueraferramentas.com.br/produto/microscanner-2-verificador-de-falhas-ms2-100-fluke-122665?utm_source=google&amp;utm_medium=cpc&amp;utm_campaign=https://www.anhangueraferramentas.com.br/produto/microscanner-2-verificador-de-falhas-ms2-100-fluke-122665?utm_source=google&amp;utm_medium=cpc&amp;utm_campaign=merchant&amp;gclid=EAIaIQobChMI7oafqPj__gIVEDWRCh38BgtSEAQYAiABEgI0MPD_BwE" TargetMode="External"/><Relationship Id="rId68" Type="http://schemas.openxmlformats.org/officeDocument/2006/relationships/hyperlink" Target="https://www.aztech.com.br/patch-cord-fibra-optica-lc-upc-single-mode-duplex-30mm-5m?utm_source=Site&amp;utm_medium=GoogleMerchant&amp;utm_campaign=GoogleMerchant&amp;gad_source=4&amp;gclid=Cj0KCQiAwbitBhDIARIsABfFYIKvjf8qnTDJrm1XD6CR8-6gv6hF1IybafUdJUpgEX647xCU2UreEsoaAucZEALw_wcB" TargetMode="External"/><Relationship Id="rId89" Type="http://schemas.openxmlformats.org/officeDocument/2006/relationships/hyperlink" Target="https://www.cftvclube.com.br/todos-os-produtos/fechadura-eletrica-intelbras-fe-20150-prata-c-sensor" TargetMode="External"/><Relationship Id="rId112" Type="http://schemas.openxmlformats.org/officeDocument/2006/relationships/hyperlink" Target="https://www.obramax.com.br/rodape-poliestireno-pu-preto-1-friso-15x240cm-89348266/p?idsku=12899&amp;region_id=20930040&amp;gad_source=1&amp;gclid=CjwKCAjwi_exBhA8EiwA_kU1MmHeLY9ZaRlwdjiK9PG7kJU7NJ9t3GySYPd7dKAew6nTCWt-98sw2xoCqvAQAvD_BwE" TargetMode="External"/><Relationship Id="rId133" Type="http://schemas.openxmlformats.org/officeDocument/2006/relationships/hyperlink" Target="https://www.casadasegurancacambe.com.br/cftv-cameras/camera-multi-hd-vhd-3220-mini-d-microfone-embutido-full-hd-1080p?parceiro=6396&amp;gad_source=1&amp;gclid=CjwKCAjw9IayBhBJEiwAVuc3fp9Li60mEunR7rR57lhRACxaxL3h-yRXsO8A1kVhEVAVahzZBGxncxoCQRwQAvD_BwE" TargetMode="External"/><Relationship Id="rId154" Type="http://schemas.openxmlformats.org/officeDocument/2006/relationships/hyperlink" Target="https://www.dimensional.com.br/conduletenaometalicomultiplopvcx121semroscacinzasemtampa5e36005319tigre/p?idsku=734175&amp;gad_source=1&amp;gclid=CjwKCAjw9IayBhBJEiwAVuc3fuGqvwxNB8r7lSQ46xMH8FudS1vun33ejRvjYAiwGr1X9PFqDmeu1xoCRroQAvD_BwE" TargetMode="External"/><Relationship Id="rId175" Type="http://schemas.openxmlformats.org/officeDocument/2006/relationships/hyperlink" Target="https://www.dimensional.com.br/conector-reto-macho-giratorio-rosca-bsp-1-1-2-3340-abaflex/p" TargetMode="External"/><Relationship Id="rId196" Type="http://schemas.openxmlformats.org/officeDocument/2006/relationships/hyperlink" Target="https://maqpart.com.br/conector-para-condulete-multipla-1-1-2-tramontina-18985" TargetMode="External"/><Relationship Id="rId200" Type="http://schemas.openxmlformats.org/officeDocument/2006/relationships/hyperlink" Target="https://www.upperseg.com.br/informatica/racks/guia-organizador-de-cabos-horizontal-19-1u-preto/" TargetMode="External"/><Relationship Id="rId16" Type="http://schemas.openxmlformats.org/officeDocument/2006/relationships/hyperlink" Target="https://shoppingdosracks.com.br/loja/rack-servidor-fechado-44u/" TargetMode="External"/><Relationship Id="rId221" Type="http://schemas.openxmlformats.org/officeDocument/2006/relationships/hyperlink" Target="mailto:mituo@luminacril.com.br%20-%20proposta%209471" TargetMode="External"/><Relationship Id="rId37" Type="http://schemas.openxmlformats.org/officeDocument/2006/relationships/hyperlink" Target="https://www.upperseg.com.br/interfonia/controle-de-acesso/leitor-de-cartao-rfid-125-khz-por-proximidade-le-130-intelbras/?gclid=EAIaIQobChMIkIX2m6jm-gIVE09IAB1s4QjeEAQYAiABEgJoH_D_BwE" TargetMode="External"/><Relationship Id="rId58" Type="http://schemas.openxmlformats.org/officeDocument/2006/relationships/hyperlink" Target="https://www.pjneblina.com.br/produto/bucha-aluminio-2-polegadas-com-rosca-bsp-para-eletroduto-wetzel/5346563/?gclid=CjwKCAjwgqejBhBAEiwAuWHioJpTJ9SUVU41zMzP6vpVBuQISCpQyZ6l5NjB0V-XGO-afQFY0y_YwhoCAjAQAvD_BwE" TargetMode="External"/><Relationship Id="rId79" Type="http://schemas.openxmlformats.org/officeDocument/2006/relationships/hyperlink" Target="https://www.solucaocabos.com.br/guia-de-cabo-horizontal-1u-19-/p?idsku=13077&amp;gclid=EAIaIQobChMIn7yU8Z2C_wIVBMKRCh1F1AMdEAQYBiABEgL4rPD_BwE" TargetMode="External"/><Relationship Id="rId102" Type="http://schemas.openxmlformats.org/officeDocument/2006/relationships/hyperlink" Target="https://www.chatuba.com.br/tampa-cega-para-condulete-1-tramontina-/p?idsku=8911&amp;gad_source=1&amp;gclid=Cj0KCQjwxeyxBhC7ARIsAC7dS3-xq7WwMQoopWaZCTAXw9zspU75J0tRzEkcjfIm40JzY5hiag89drQaAj5QEALw_wcB" TargetMode="External"/><Relationship Id="rId123" Type="http://schemas.openxmlformats.org/officeDocument/2006/relationships/hyperlink" Target="https://www.lojacentraleletrica.com.br/produto/cabo-de-cobre-flexivel-plastichumbo-2x1-5mm-cinza-750v-condumig?gad_source=1&amp;gclid=CjwKCAjwrvyxBhAbEiwAEg_Kgt0ineomaiJEL0k9bpIZwZ5-gmyi9C9LLoyD2l_LYCGH7KcIittptRoC4TUQAvD_BwE" TargetMode="External"/><Relationship Id="rId144" Type="http://schemas.openxmlformats.org/officeDocument/2006/relationships/hyperlink" Target="https://www.leroymerlin.com.br/clips-grampo-para-cabo-de-aco-3-8-9,5mm--10-unidades_1571204030" TargetMode="External"/><Relationship Id="rId90" Type="http://schemas.openxmlformats.org/officeDocument/2006/relationships/hyperlink" Target="https://www.leroymerlin.com.br/caixa-passagem-para-ar-condicionado-split-pop-2-em-1-polar_89003656" TargetMode="External"/><Relationship Id="rId165" Type="http://schemas.openxmlformats.org/officeDocument/2006/relationships/hyperlink" Target="https://www.dimensional.com.br/conector-reto-macho-giratorio-latao-sem-vedacao-rosca-bsp-2-1-2-p-sealtubo-indel-indel/p?idsku=201740&amp;gad_source=1&amp;gclid=CjwKCAjwupGyBhBBEiwA0UcqaDc5LH6DGGjSz4YeFFMBe_CcTr-6qCg-5nfgZrNB2onPJsCEGkclsBoCrZcQAvD_BwE" TargetMode="External"/><Relationship Id="rId186" Type="http://schemas.openxmlformats.org/officeDocument/2006/relationships/hyperlink" Target="https://gtepis.mercadoshops.com.br/MLB-2846274861-calco-borracha-p-anti-vibraco-100x100x25mm-vibra-stop-6-und-_JM?gad_source=4&amp;gbraid=0AAAAApoprKIRKkgaXk9sig2vxN1Cln6iY&amp;gclid=CjwKCAjw8IfABhBXEiwAxRHlsPS1OQl5K-dlwi82y0WAeLm6tyVBXlkG9JkiYBMoLH54J4ME62W6mhoCQeIQAvD_BwE" TargetMode="External"/><Relationship Id="rId211" Type="http://schemas.openxmlformats.org/officeDocument/2006/relationships/hyperlink" Target="mailto:mituo@luminacril.com.br%20-%20proposta%209471" TargetMode="External"/><Relationship Id="rId27" Type="http://schemas.openxmlformats.org/officeDocument/2006/relationships/hyperlink" Target="https://www.ilumisul.com.br/ProdutoId_518,59/Material-Eletrico/Conduletes/Conector-Reto-PVC/Conector-Box-Reto-Para-Condulete-1-Cinza----Inpol.html?gclid=EAIaIQobChMI7viZzf7l-gIV6EFIAB2xeAbcEAQYAiABEgKUp_D_BwE" TargetMode="External"/><Relationship Id="rId48" Type="http://schemas.openxmlformats.org/officeDocument/2006/relationships/hyperlink" Target="https://www.dimensional.com.br/instrumento-portatil-10a50grc-cat-5e-6-6a-microscanner-ms2poe-fluke/p?idsku=1099650&amp;gad_source=4&amp;gclid=Cj0KCQiA2KitBhCIARIsAPPMEhK_m_62Y5mFyxzgconNbABheYnUZ0z094o82Lg69Akg6JCjn-tIJXUaAkFuEALw_wcB" TargetMode="External"/><Relationship Id="rId69" Type="http://schemas.openxmlformats.org/officeDocument/2006/relationships/hyperlink" Target="https://www.reidosfp.com.br/cordao-optico-duplex-lc-upc-x-sc-apc-2mm-x-5m-monomodo" TargetMode="External"/><Relationship Id="rId113" Type="http://schemas.openxmlformats.org/officeDocument/2006/relationships/hyperlink" Target="https://www.noviseg.com.br/MLB-3313165957-semaforo-sinalizador-40-leds-12v-garen-seg-_JM" TargetMode="External"/><Relationship Id="rId134" Type="http://schemas.openxmlformats.org/officeDocument/2006/relationships/hyperlink" Target="https://www.cftvclube.com.br/cameras/camera-intelbras-vhd-3220-mini-dome-c-microfone-2-0mp-1080p-2-8mm-metal?parceiro=2410&amp;variant_id=315&amp;parceiro=7283&amp;gad_source=1&amp;gclid=CjwKCAjw9IayBhBJEiwAVuc3fhFrPXzoZEv34PwnfimAZJOMMmzPet-4fQE_2gs1j5e2gDnz6waCIxoCLuQQAvD_BwE" TargetMode="External"/><Relationship Id="rId80" Type="http://schemas.openxmlformats.org/officeDocument/2006/relationships/hyperlink" Target="https://netcomputadores.com.br/gs/yppsvuvt10-50-maxi-telecom-voice-panel/34776?srsltid=AfmBOoqDyAOGpCkwQ58GQddnP5z9F289xyd_IJpnkoRdHZq845lV21NIkTU" TargetMode="External"/><Relationship Id="rId155" Type="http://schemas.openxmlformats.org/officeDocument/2006/relationships/hyperlink" Target="https://www.inspirehome.com.br/perfil-de-embutir-led-archi-recuado-linear-1-metro-alto-irc-93-2700k-23w-24v-aluminio-branco-stella-sth20991br-27/p?utm_source=google&amp;utm_medium=cpc&amp;utm_campaign=Pmax_Portofino&amp;gad_source=1&amp;gclid=CjwKCAjwl4yyBhAgEiwADSEjeEHLTLTkmGrtQ_BcqrMJml3FfzBG86uR-Kw7YhRjldIpi3UXd585sRoCT6IQAvD_BwE" TargetMode="External"/><Relationship Id="rId176" Type="http://schemas.openxmlformats.org/officeDocument/2006/relationships/hyperlink" Target="https://www.eletricabichuette.com.br/conector-macho-giratorio-para-sealtubo-1-12-polegada/p" TargetMode="External"/><Relationship Id="rId197" Type="http://schemas.openxmlformats.org/officeDocument/2006/relationships/hyperlink" Target="https://www.pjneblina.com.br/produto/conector-eletroduto-macho-reusavel-aluminio-212-polegadas-rosca-bsp-reto-fixo-i/5486345" TargetMode="External"/><Relationship Id="rId201" Type="http://schemas.openxmlformats.org/officeDocument/2006/relationships/hyperlink" Target="https://www.eletrorastro.com.br/produto/unidut-multiplo-adaptador-de-1-1-2-para-1-1-4-tramontina-90747?utm_source=google&amp;utm_medium=cpc&amp;utm_campaign=&amp;gclid=EAIaIQobChMIybjWj6KA_wIVRcKRCh1UXgJuEAQYAyABEgIu2_D_BwE" TargetMode="External"/><Relationship Id="rId222" Type="http://schemas.openxmlformats.org/officeDocument/2006/relationships/hyperlink" Target="mailto:mituo@luminacril.com.br%20-%20proposta%209471" TargetMode="External"/><Relationship Id="rId17" Type="http://schemas.openxmlformats.org/officeDocument/2006/relationships/hyperlink" Target="https://www.eletricaarea.com.br/material-eletrico/conduletes-e-acessorios/condulete-aluminio-multiplo-l-1-12-com-tampa-sem-pintura?parceiro=1263&amp;gclid=EAIaIQobChMItdv7tO7d-gIVxUFIAB2VZA_nEAQYAiABEgIrI_D_BwE" TargetMode="External"/><Relationship Id="rId38" Type="http://schemas.openxmlformats.org/officeDocument/2006/relationships/hyperlink" Target="https://www.netalarmes.com.br/leitor-de-cartao-intelbras-le-130-rfid-125-khz?parceiro=8046&amp;parceiro=8764&amp;gclid=EAIaIQobChMIkIX2m6jm-gIVE09IAB1s4QjeEAQYAyABEgJ4BvD_BwE" TargetMode="External"/><Relationship Id="rId59" Type="http://schemas.openxmlformats.org/officeDocument/2006/relationships/hyperlink" Target="https://newelectricmj.com.br/produto/bucha-2/?srsltid=AfmBOopnSZFp6wW5S4_aulkNERa2UPbACynqXnFq8rbfbNBrJlqYyxKnNp0" TargetMode="External"/><Relationship Id="rId103" Type="http://schemas.openxmlformats.org/officeDocument/2006/relationships/hyperlink" Target="https://www.amoedo.com.br/tampa-cega-p-condulete-1-estampadoaluminio/p?idsku=3088869&amp;region_id=101021&amp;gad_source=1&amp;gclid=Cj0KCQjwxeyxBhC7ARIsAC7dS3-mrCVbqTnTjknjZyGn3Y_oZrtj5hOTAEbz4XXrrnI9t--Wd_Pj7CYaAqrAEALw_wcB" TargetMode="External"/><Relationship Id="rId124" Type="http://schemas.openxmlformats.org/officeDocument/2006/relationships/hyperlink" Target="https://loja.conduscamp.com.br/produto/cabo-comandocontrole-2x100-mm%c2%b2-blindado-malha-de-cobre-estanhado-preto/5415770?idSku=5941170" TargetMode="External"/><Relationship Id="rId70" Type="http://schemas.openxmlformats.org/officeDocument/2006/relationships/hyperlink" Target="https://www.solucaocabos.com.br/cabo-optico-multimodo-eo-cog-2fo/p?idsku=13397&amp;srsltid=AfmBOoqRDhI_2CYCtggCtOzzee0tgYYI6TTMUpXP3fPxMX7IXWyFrvpZbuo" TargetMode="External"/><Relationship Id="rId91" Type="http://schemas.openxmlformats.org/officeDocument/2006/relationships/hyperlink" Target="https://frioparcomercial.com.br/produto/caixa-de-passagem-split-reversivel-295x17x5cm-drenoar/" TargetMode="External"/><Relationship Id="rId145" Type="http://schemas.openxmlformats.org/officeDocument/2006/relationships/hyperlink" Target="https://www.upperseg.com.br/cerca-eletrica/acessorios/mais-acessorios-de-cerca/clips-abracadeira-para-cabo-de-aco-pacote-c-50-pecas/?gad_source=1&amp;gclid=CjwKCAjw9IayBhBJEiwAVuc3frgezON5GcUQkovB0Il9OjxE9v65ri1giNSsl1mcn0GhzXnzhhCSjhoC-0MQAvD_BwE" TargetMode="External"/><Relationship Id="rId166" Type="http://schemas.openxmlformats.org/officeDocument/2006/relationships/hyperlink" Target="https://www.santil.com.br/produto/conector-femea-giratorio-212-polegadas-latao-delcaflex/2897972" TargetMode="External"/><Relationship Id="rId187" Type="http://schemas.openxmlformats.org/officeDocument/2006/relationships/hyperlink" Target="https://www.dradaborracha.com.br/product-page/cal%C3%A7o-borracha-vibra-stop-200x200x50mm-7000kg" TargetMode="External"/><Relationship Id="rId1" Type="http://schemas.openxmlformats.org/officeDocument/2006/relationships/hyperlink" Target="https://www.donacereja.com.br/papel-de-parede-linho-cinza?gclid=Cj0KCQjw48OaBhDWARIsAMd966CfLLMSUl70ptd30D-zGwfcCyVcHYml7YsScGTvVBvnJBB4Eq-UK6EaAmxJEALw_wcB" TargetMode="External"/><Relationship Id="rId212" Type="http://schemas.openxmlformats.org/officeDocument/2006/relationships/hyperlink" Target="mailto:mituo@luminacril.com.br%20-%20proposta%209471" TargetMode="External"/><Relationship Id="rId28" Type="http://schemas.openxmlformats.org/officeDocument/2006/relationships/hyperlink" Target="https://www.superproatacado.com.br/55155/conector-box-1-reto-pvc-cinza-inpol?gclid=CjwKCAjwgqejBhBAEiwAuWHioM3QIx6HKCJ9XTlRoKdH3VlXy1E47xwwSVF6QJUeBl0_v7K-ipP9URoCD-QQAvD_BwE" TargetMode="External"/><Relationship Id="rId49" Type="http://schemas.openxmlformats.org/officeDocument/2006/relationships/hyperlink" Target="https://artspapeldeparede.com.br/produtos/papel-de-parede-adesivo-textura-linho-cinza/?pf=gs&amp;variant=389567848" TargetMode="External"/><Relationship Id="rId114" Type="http://schemas.openxmlformats.org/officeDocument/2006/relationships/hyperlink" Target="https://www.dkwstore.com.br/MLB-3143344043-semaforo-aviso-de-veiculos-garagem-vermelho-e-verde-dni-6977-_JM?variation=177101809315&amp;gad_source=1&amp;gclid=CjwKCAjwi_exBhA8EiwA_kU1MlvyS50rmStjA-70F1JtuBVqy-Depku5ODbQs4bERr-rr7Uw2FO5DBoCFS4QAvD_BwE" TargetMode="External"/><Relationship Id="rId60" Type="http://schemas.openxmlformats.org/officeDocument/2006/relationships/hyperlink" Target="https://www.teky.com.br/646a5a63d496504d21df146f/bucha-aluminio-2%22-com-rosca-bsp-p-eletroduto-wetzel-s.a?srsltid=AfmBOopMJhHSaeTemwqQOL696Tuwrw_tYK8hs-1_2CFJAXKd7BrdxMMNxTA" TargetMode="External"/><Relationship Id="rId81" Type="http://schemas.openxmlformats.org/officeDocument/2006/relationships/hyperlink" Target="https://www.americanas.com.br/produto/5061027784/bandeja-raker-fixa-frontal-2-pontos-1u-x-250mm?pfm_carac=bandeja-fixa-frontal&amp;pfm_index=1&amp;pfm_page=search&amp;pfm_pos=grid&amp;pfm_type=search_page&amp;offerId=6279929f87c00289c23b2bd3&amp;cor=Preta&amp;cross%20docking=1&amp;condition=NEW" TargetMode="External"/><Relationship Id="rId135" Type="http://schemas.openxmlformats.org/officeDocument/2006/relationships/hyperlink" Target="https://www.pontesferragensloja.com.br/MLB-3257219928-5-chumbador-quimico-em-ampola-cura-rapida-para-concreto-12mm-_JM?gad_source=1&amp;gclid=CjwKCAjw9IayBhBJEiwAVuc3fpMpjZKfd1PMDU9T-_86MaBca-Il5QXRESTOoo9V4wtk7_4zt13ghBoCVccQAvD_BwE" TargetMode="External"/><Relationship Id="rId156" Type="http://schemas.openxmlformats.org/officeDocument/2006/relationships/hyperlink" Target="https://www.cialight.com.br/perfil-de-embutir-led-archi-recuado-1-metro-irc-93-2700k-23w-m-24v-branco-stella-sth20991br-27?utm_source=google&amp;utm_medium=Shopping&amp;utm_campaign=perfil-de-embutir-led-archi-recuado-1-metro-irc-93-2700k-23w-m-24v-branco-stella-sth20991br-27&amp;inStock&amp;gad_source=1&amp;gclid=CjwKCAjwl4yyBhAgEiwADSEjeKD-qE4UVLgwD3zfX0wfIQkPgh521Fmvq34VvPQJs0KeZKNkocybxRoCVgMQAvD_BwE" TargetMode="External"/><Relationship Id="rId177" Type="http://schemas.openxmlformats.org/officeDocument/2006/relationships/hyperlink" Target="https://www.eletrotrafo.com.br/conector-p-seal-tubo-fixo-macho-cmr-p-sealflex-ip65---sptf/p" TargetMode="External"/><Relationship Id="rId198" Type="http://schemas.openxmlformats.org/officeDocument/2006/relationships/hyperlink" Target="mailto:igor.canedo@cmcomandos.com" TargetMode="External"/><Relationship Id="rId202" Type="http://schemas.openxmlformats.org/officeDocument/2006/relationships/hyperlink" Target="https://www.lojaeletrica.com.br/canaleta-aluminio-simples-branco-53x15-2-metros-com-tampa-dx-10040.html" TargetMode="External"/><Relationship Id="rId223" Type="http://schemas.openxmlformats.org/officeDocument/2006/relationships/hyperlink" Target="https://www.ferramentaskennedy.com.br/100084187/manilha-reta-3-4-1-10t-rosca-acerosid?gad_source=1&amp;gclid=CjwKCAjw9IayBhBJEiwAVuc3frULihVH8IdmbheMPXjxWh5GSKvWAtd0vq8XC6ncoJLk0P_oPRNh-RoCCOYQAvD_BwE" TargetMode="External"/><Relationship Id="rId18" Type="http://schemas.openxmlformats.org/officeDocument/2006/relationships/hyperlink" Target="https://www.eletricaarea.com.br/material-eletrico/conduletes-e-acessorios/unidut-conico-1-flexor?parceiro=1263&amp;gclid=EAIaIQobChMIzZzJ-u_g-gIVIUFIAB0oSgvxEAQYASABEgLfn_D_BwE" TargetMode="External"/><Relationship Id="rId39" Type="http://schemas.openxmlformats.org/officeDocument/2006/relationships/hyperlink" Target="https://www.upperseg.com.br/interfonia/fechaduras/fechadura-eletromagnetica/suporte-sv-21150-d-intelbras-para-fechadura-eletroima-fe-21150-d/?gclid=EAIaIQobChMIgNOv0anm-gIVguBcCh3Xfg8oEAQYASABEgIta_D_BwE" TargetMode="External"/><Relationship Id="rId50" Type="http://schemas.openxmlformats.org/officeDocument/2006/relationships/hyperlink" Target="https://www.leroymerlin.com.br/papel-de-parede-vinilizado-linho-cinza-10x0,52m-bobinex_92135904?store_code=7&amp;gad_source=1&amp;gad_campaignid=18197119631&amp;gbraid=0AAAAADkzLZ4eiWGGsOZu3R2dcbdBY8GEQ&amp;gclid=CjwKCAjw87XBBhBIEiwAxP3_A-Eohj9EaUO8lsntW1ZbXxpDgLvYSmpBowswEXjwhjM16bNinsUmDBoCItUQAvD_BwE" TargetMode="External"/><Relationship Id="rId104" Type="http://schemas.openxmlformats.org/officeDocument/2006/relationships/hyperlink" Target="https://www.obramax.com.br/tampa-cega-para-caixinha-de-pvc-1--cinza-89692001/p?idsku=49417&amp;region_id=20930040&amp;gad_source=1&amp;gclid=Cj0KCQjwxeyxBhC7ARIsAC7dS3-gRO71nI-HH5XbX82S1l54hx7kwCsQKUvHGHfJ_xzVeDZxDl5ZrAMaAvOtEALw_wcB" TargetMode="External"/><Relationship Id="rId125" Type="http://schemas.openxmlformats.org/officeDocument/2006/relationships/hyperlink" Target="https://www.copafer.com.br/adaptador-condulete-top-3-4-36005297-tigre-p1106717" TargetMode="External"/><Relationship Id="rId146" Type="http://schemas.openxmlformats.org/officeDocument/2006/relationships/hyperlink" Target="https://www.ferramentaskennedy.com.br/100040202/grampo-tipo-clip-para-cabo-de-aco-3-8%E2%80%9D-10-pecas-acerosid?gad_source=1&amp;gclid=CjwKCAjw9IayBhBJEiwAVuc3fuqLNs9vzfeEprryh0loPS5QymD6r3R44HovQynAyy2J7nnJ5peyXBoCsK8QAvD_BwE" TargetMode="External"/><Relationship Id="rId167" Type="http://schemas.openxmlformats.org/officeDocument/2006/relationships/hyperlink" Target="https://www.comercialuniverso.com.br/produtos/conector-cffr-180-femea-fixo-2-1-2-decalflex/" TargetMode="External"/><Relationship Id="rId188" Type="http://schemas.openxmlformats.org/officeDocument/2006/relationships/hyperlink" Target="mailto:vendas@engeduto.com.br" TargetMode="External"/><Relationship Id="rId71" Type="http://schemas.openxmlformats.org/officeDocument/2006/relationships/hyperlink" Target="https://netcomputadores.com.br/gs/cds9lcxlc50m-cordao-duplex-monomodo-lc-lc/15403?srsltid=AfmBOoon2vGn5AiVetNSPFHst_zTEIxXMifdSc135Z7OG9-GONUXGortDJg" TargetMode="External"/><Relationship Id="rId92" Type="http://schemas.openxmlformats.org/officeDocument/2006/relationships/hyperlink" Target="https://www.novaexaustores.com.br/exaustores/caixa-de-ventilacao-cfm-500" TargetMode="External"/><Relationship Id="rId213" Type="http://schemas.openxmlformats.org/officeDocument/2006/relationships/hyperlink" Target="mailto:mituo@luminacril.com.br%20-%20proposta%209471" TargetMode="External"/><Relationship Id="rId2" Type="http://schemas.openxmlformats.org/officeDocument/2006/relationships/hyperlink" Target="https://www.lojacentraleletrica.com.br/produto/conector-adaptador-de-aluminio-para-condulete-multiplo-1-1-2-polegada-unidut-de-pressao-tramontina" TargetMode="External"/><Relationship Id="rId29" Type="http://schemas.openxmlformats.org/officeDocument/2006/relationships/hyperlink" Target="https://www.ibyte.com.br/conector-rj45-cat6-femea-1-unidade/p" TargetMode="External"/><Relationship Id="rId40" Type="http://schemas.openxmlformats.org/officeDocument/2006/relationships/hyperlink" Target="https://www.netalarmes.com.br/fechaduras-e-travas/acessorios/suporte-intelbras-para-fechadura-eletroima-fe-21150-d-sv-21150-d?parceiro=8046&amp;parceiro=8764&amp;gclid=EAIaIQobChMIgNOv0anm-gIVguBcCh3Xfg8oEAQYAyABEgKKT_D_BwE" TargetMode="External"/><Relationship Id="rId115" Type="http://schemas.openxmlformats.org/officeDocument/2006/relationships/hyperlink" Target="https://www.autogatebr.com/MLB-3313937013-sinalizador-semaforo-40-leds-12v-condominio-escolas-empresas-_JM" TargetMode="External"/><Relationship Id="rId136" Type="http://schemas.openxmlformats.org/officeDocument/2006/relationships/hyperlink" Target="https://www.carrefour.com.br/chumbador-quimico-em-ampola-cura-rapida-para-concreto-12mm-mp932305772/p?utm_medium=sem&amp;utm_source=google_pmax_3p&amp;utm_campaign=3p_performancemax_Eletro_Seller_C&amp;gad_source=1&amp;gclid=CjwKCAjw9IayBhBJEiwAVuc3fiCZQZFIeTTFlWe7pOW_onYGCgoo3fBbK_YHs2cTwXNC8Jonxt7ysBoCa1kQAvD_BwE" TargetMode="External"/><Relationship Id="rId157" Type="http://schemas.openxmlformats.org/officeDocument/2006/relationships/hyperlink" Target="https://www.upperseg.com.br/cftv/acessorios/caixas-de-instalacao-e-conectores/caixa-de-passagem-metalica-ip66-para-cameras-vbox-5000-e-intelbras/?gad_source=1&amp;gclid=CjwKCAjwl4yyBhAgEiwADSEjeCLldWHXv96nJZ6yOudN8zhLYLnPct0ekeOT5ZgO8ajtD98_bITSEhoCFWQQAvD_BwE" TargetMode="External"/><Relationship Id="rId178" Type="http://schemas.openxmlformats.org/officeDocument/2006/relationships/hyperlink" Target="https://www.amoedo.com.br/tomada-2p-t-dupla-10a-675062-nbr-sistema-x/p?idsku=1692099&amp;region_id=101021&amp;gad_source=1&amp;gclid=Cj0KCQjw3ZayBhDRARIsAPWzx8ov8iS7x1k-5gOQuVNe0vSSFWnSgfw0_63MXydO4r4Y_dK3GC_iPdEaAlIWEALw_wcB" TargetMode="External"/><Relationship Id="rId61" Type="http://schemas.openxmlformats.org/officeDocument/2006/relationships/hyperlink" Target="https://www.bernalonline.com.br/caixa-de-luz-4x4-para-drywall-tramontina-526-p16019" TargetMode="External"/><Relationship Id="rId82" Type="http://schemas.openxmlformats.org/officeDocument/2006/relationships/hyperlink" Target="https://www.lojamatel.com.br/produto/bandeja-fixa-1u-19-250mm-preto-fixacao-frontal.html?srsltid=AfmBOoqf_juue3JyRUYlc95bQMViuk8Msu0tzfud4pPoJCttmflnNH3HIt0" TargetMode="External"/><Relationship Id="rId199" Type="http://schemas.openxmlformats.org/officeDocument/2006/relationships/hyperlink" Target="https://app.orcafascio.com/banco/insumos" TargetMode="External"/><Relationship Id="rId203" Type="http://schemas.openxmlformats.org/officeDocument/2006/relationships/hyperlink" Target="https://www.lojaeletrica.com.br/tomada-sistema-x-2-sec-o-2-polos-terra-10a-250v-pial-675062-legrand.html?srsltid=AfmBOoqBrt68XvM0NKwUBVaCPaUxzuuDCY_E5WC_3Blx1x-igyzmctHC" TargetMode="External"/><Relationship Id="rId19" Type="http://schemas.openxmlformats.org/officeDocument/2006/relationships/hyperlink" Target="https://www.dimensional.com.br/conector-unidut-conico-mac-fixo-al-s-v-s-r-1-2-56126021/p?idsku=193271&amp;gclid=EAIaIQobChMIzZzJ-u_g-gIVIUFIAB0oSgvxEAQYAyABEgKNkPD_BwE" TargetMode="External"/><Relationship Id="rId224" Type="http://schemas.openxmlformats.org/officeDocument/2006/relationships/hyperlink" Target="https://www.madeiramadeira.com.br/manilha-reta-para-cabo-de-aco-3-8-vonder-plus-4540299.html?origem=pla-4540299&amp;utm_source=google&amp;utm_medium=cpc&amp;utm_content=anilhas-4544&amp;utm_term=&amp;utm_id=17854485303&amp;gad_source=1&amp;gclid=CjwKCAjw9IayBhBJEiwAVuc3fpJWuAJUxjIc9CHbXBZIrg0Pbrt6_10LZmloGAm90Od2maErF8DRDBoCLlMQAvD_BwE" TargetMode="External"/><Relationship Id="rId30" Type="http://schemas.openxmlformats.org/officeDocument/2006/relationships/hyperlink" Target="https://www.kabum.com.br/produto/234519/conector-rj45-cat6-femea-1-unidade?srsltid=AdGWZVRKEoUygWO37g161P8lCNnIr4Wb_mtWKFzBxcnM2M_x_pHRKg1WOLw" TargetMode="External"/><Relationship Id="rId105" Type="http://schemas.openxmlformats.org/officeDocument/2006/relationships/hyperlink" Target="https://www.tudoforte.com.br/sensor-magnetico-de-abertura-c/fio-xas-porta-de-aco-mini-intelbras?parceiro=6347&amp;utm_source=google&amp;utm_medium=cpc&amp;utm_term=&amp;campaignid=16788958963&amp;adgroupid=&amp;targetid=&amp;adid=&amp;rnd=12804164606731324186&amp;gad_source=1&amp;gclid=Cj0KCQjwxeyxBhC7ARIsAC7dS39MJcvgbojEke7zJ7yZzBWlP2y9nVm-_lMJDUDq7xyrpQqY-Q-6bwwaAsTiEALw_wcB" TargetMode="External"/><Relationship Id="rId126" Type="http://schemas.openxmlformats.org/officeDocument/2006/relationships/hyperlink" Target="https://www.lojaeletrica.com.br/basket.aspx?idsku=2490703680384&amp;src=?idProduct=2490703680384&amp;iddept=0" TargetMode="External"/><Relationship Id="rId147" Type="http://schemas.openxmlformats.org/officeDocument/2006/relationships/hyperlink" Target="https://www.leroymerlin.com.br/esticador-gancho-e-olhal-para-cabo-3-8-ate-100kg-aco-2-pecas_89300610" TargetMode="External"/><Relationship Id="rId168" Type="http://schemas.openxmlformats.org/officeDocument/2006/relationships/hyperlink" Target="https://www.lojadopedrao.com.br/adaptador-de-transicao-tupy-grooved-bsp-2-1-2--76-5mm-131601136-tupy-42138/p?idsku=42138&amp;gad_source=1&amp;gclid=CjwKCAjwupGyBhBBEiwA0UcqaPMyFF-IqcML5uIbRiVfTUwa70YZqh9fn3lzWwNAAaVA3OGHBmk2LRoC6sYQAvD_BwE" TargetMode="External"/><Relationship Id="rId51" Type="http://schemas.openxmlformats.org/officeDocument/2006/relationships/hyperlink" Target="https://www.leroymerlin.com.br/condulete-multiplo-1-tipo-l-com-tampa_1568281195?region=outros" TargetMode="External"/><Relationship Id="rId72" Type="http://schemas.openxmlformats.org/officeDocument/2006/relationships/hyperlink" Target="https://www.ferramentaskennedy.com.br/100087096/conector-box-1-reto-pvc-cinza-inpol?gad_source=4&amp;gclid=CjwKCAiA5L2tBhBTEiwAdSxJX2YrzJ28o7nMkWqceW3xnw0vvWjR-4zIv1ZQSuklOKw2GB8LezS8GhoCKOIQAvD_BwE" TargetMode="External"/><Relationship Id="rId93" Type="http://schemas.openxmlformats.org/officeDocument/2006/relationships/hyperlink" Target="https://www.frigelar.com.br/caixa-passagem-polar-split-29lx16ax6p-sem-tampa-frontal-reversivel-alvenaria-convencional/p/kit3571?srsltid=AfmBOoqzJXw78ONaas7dAzaAIEP5cuUdJz3pi5bertFhxXUKqOGXNbWK3EA" TargetMode="External"/><Relationship Id="rId189" Type="http://schemas.openxmlformats.org/officeDocument/2006/relationships/hyperlink" Target="https://hidroveda.com.br/produtos/gateway-wireless-novus-airgate-modbus-din/?srsltid=AfmBOoooPPnDe15JA7sEMPhk_pKrrnK3oPqnueCeOHskz6qouC53ahHc6fM" TargetMode="External"/><Relationship Id="rId3" Type="http://schemas.openxmlformats.org/officeDocument/2006/relationships/hyperlink" Target="https://www.eletrotrafo.com.br/terminal-pre-isol-pino-ilhos-tubular-az--25mm--ti-25-8-intelli-penzel-02010076/p?idsku=4312&amp;gclid=EAIaIQobChMIoLqZkK3e-gIVbU9IAB13nweOEAQYCyABEgIJYfD_BwE" TargetMode="External"/><Relationship Id="rId214" Type="http://schemas.openxmlformats.org/officeDocument/2006/relationships/hyperlink" Target="mailto:mituo@luminacril.com.br%20-%20proposta%20947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CF7D8-0421-440D-8312-FCBC4A2D4B07}">
  <sheetPr codeName="Planilha1">
    <tabColor theme="5" tint="0.39997558519241921"/>
  </sheetPr>
  <dimension ref="A1:W322"/>
  <sheetViews>
    <sheetView showGridLines="0" view="pageBreakPreview" topLeftCell="A232" zoomScale="115" zoomScaleNormal="66" zoomScaleSheetLayoutView="115" workbookViewId="0">
      <selection activeCell="B254" sqref="B254:B256"/>
    </sheetView>
  </sheetViews>
  <sheetFormatPr defaultColWidth="9.140625" defaultRowHeight="12.75" x14ac:dyDescent="0.2"/>
  <cols>
    <col min="1" max="1" width="8.5703125" style="1" customWidth="1"/>
    <col min="2" max="2" width="60.140625" style="54" customWidth="1"/>
    <col min="3" max="3" width="10.85546875" style="54" customWidth="1"/>
    <col min="4" max="4" width="11.7109375" style="101" customWidth="1"/>
    <col min="5" max="5" width="7.42578125" style="1" customWidth="1"/>
    <col min="6" max="6" width="29.5703125" style="2" customWidth="1"/>
    <col min="7" max="7" width="19.42578125" style="2" customWidth="1"/>
    <col min="8" max="8" width="67.140625" style="3" customWidth="1"/>
    <col min="9" max="9" width="12.42578125" style="1" customWidth="1"/>
    <col min="10" max="10" width="16.140625" style="1" customWidth="1"/>
    <col min="11" max="15" width="12.42578125" style="1" customWidth="1"/>
    <col min="16" max="18" width="16.28515625" style="1" customWidth="1"/>
    <col min="19" max="19" width="16.5703125" style="1" customWidth="1"/>
    <col min="20" max="20" width="12.42578125" style="1" customWidth="1"/>
    <col min="21" max="21" width="15" style="1" customWidth="1"/>
    <col min="22" max="16384" width="9.140625" style="1"/>
  </cols>
  <sheetData>
    <row r="1" spans="1:22" ht="19.5" thickBot="1" x14ac:dyDescent="0.25">
      <c r="B1" s="61"/>
      <c r="C1" s="61"/>
      <c r="D1" s="108"/>
      <c r="F1" s="191"/>
      <c r="G1" s="191"/>
      <c r="H1" s="191"/>
      <c r="U1" s="4"/>
    </row>
    <row r="2" spans="1:22" s="57" customFormat="1" ht="19.5" thickBot="1" x14ac:dyDescent="0.25">
      <c r="A2" s="207" t="s">
        <v>0</v>
      </c>
      <c r="B2" s="207"/>
      <c r="C2" s="207"/>
      <c r="D2" s="207"/>
      <c r="E2" s="207"/>
      <c r="F2" s="208"/>
      <c r="G2" s="207"/>
      <c r="H2" s="207"/>
      <c r="I2" s="207"/>
      <c r="J2" s="207"/>
      <c r="K2" s="207"/>
      <c r="L2" s="207"/>
      <c r="M2" s="207"/>
      <c r="N2" s="207"/>
      <c r="O2" s="207"/>
      <c r="P2" s="207"/>
      <c r="Q2" s="207"/>
      <c r="R2" s="207"/>
      <c r="S2" s="207"/>
      <c r="T2" s="207"/>
      <c r="U2" s="209"/>
    </row>
    <row r="3" spans="1:22" ht="13.5" thickBot="1" x14ac:dyDescent="0.25">
      <c r="A3" s="5"/>
      <c r="B3" s="55"/>
      <c r="C3" s="55"/>
      <c r="D3" s="23"/>
      <c r="E3" s="25"/>
      <c r="F3" s="23"/>
      <c r="G3" s="23"/>
      <c r="H3" s="6"/>
      <c r="I3" s="24"/>
      <c r="J3" s="24"/>
      <c r="K3" s="24"/>
      <c r="L3" s="24"/>
      <c r="M3" s="24"/>
      <c r="N3" s="24"/>
      <c r="O3" s="26"/>
      <c r="P3" s="26"/>
      <c r="Q3" s="24"/>
      <c r="R3" s="24"/>
      <c r="S3" s="24"/>
      <c r="T3" s="24"/>
      <c r="U3" s="27"/>
    </row>
    <row r="4" spans="1:22" ht="39" thickBot="1" x14ac:dyDescent="0.25">
      <c r="A4" s="137" t="s">
        <v>830</v>
      </c>
      <c r="B4" s="56" t="s">
        <v>2</v>
      </c>
      <c r="C4" s="48" t="s">
        <v>831</v>
      </c>
      <c r="D4" s="48" t="s">
        <v>736</v>
      </c>
      <c r="E4" s="47" t="s">
        <v>3</v>
      </c>
      <c r="F4" s="47" t="s">
        <v>4</v>
      </c>
      <c r="G4" s="47" t="s">
        <v>5</v>
      </c>
      <c r="H4" s="48" t="s">
        <v>6</v>
      </c>
      <c r="I4" s="49" t="s">
        <v>7</v>
      </c>
      <c r="J4" s="49" t="s">
        <v>8</v>
      </c>
      <c r="K4" s="50" t="s">
        <v>9</v>
      </c>
      <c r="L4" s="50" t="s">
        <v>10</v>
      </c>
      <c r="M4" s="50" t="s">
        <v>11</v>
      </c>
      <c r="N4" s="50" t="s">
        <v>12</v>
      </c>
      <c r="O4" s="51" t="s">
        <v>13</v>
      </c>
      <c r="P4" s="33" t="s">
        <v>14</v>
      </c>
      <c r="Q4" s="34" t="s">
        <v>15</v>
      </c>
      <c r="R4" s="210" t="s">
        <v>16</v>
      </c>
      <c r="S4" s="211"/>
      <c r="T4" s="52" t="s">
        <v>17</v>
      </c>
      <c r="U4" s="53" t="s">
        <v>18</v>
      </c>
    </row>
    <row r="5" spans="1:22" ht="19.899999999999999" customHeight="1" thickTop="1" x14ac:dyDescent="0.2">
      <c r="A5" s="176" t="s">
        <v>604</v>
      </c>
      <c r="B5" s="188" t="s">
        <v>30</v>
      </c>
      <c r="C5" s="119"/>
      <c r="D5" s="103"/>
      <c r="E5" s="58"/>
      <c r="F5" s="94" t="s">
        <v>726</v>
      </c>
      <c r="G5" s="95" t="s">
        <v>256</v>
      </c>
      <c r="H5" s="12" t="s">
        <v>727</v>
      </c>
      <c r="I5" s="102">
        <v>5.32</v>
      </c>
      <c r="J5" s="96">
        <v>7.03</v>
      </c>
      <c r="K5" s="20">
        <f>J5/$E$6</f>
        <v>5.6969205834683954E-3</v>
      </c>
      <c r="L5" s="20">
        <f t="shared" ref="L5:L7" si="0">I5+K5</f>
        <v>5.3256969205834688</v>
      </c>
      <c r="M5" s="170">
        <f>_xlfn.STDEV.S(L5:L7)</f>
        <v>0.81440071218535792</v>
      </c>
      <c r="N5" s="170">
        <f>(SUM(L5:L7))/((IF(L5=0,0,1))+(IF(L6=0,0,1))+(IF(L7=0,0,1)))</f>
        <v>4.8219962182603995</v>
      </c>
      <c r="O5" s="173">
        <f>M5/N5</f>
        <v>0.16889285584698446</v>
      </c>
      <c r="P5" s="37"/>
      <c r="Q5" s="37"/>
      <c r="R5" s="38" t="str">
        <f>IF(O5&lt;0.25,"PROPOSTA VÁLIDA",((IF(L5&gt;P6,"PROPOSTA FORA DOS LIMITES",IF(L5&lt;Q6,"PROPOSTA FORA DOS LIMITES","PROPOSTA VÁLIDA")))))</f>
        <v>PROPOSTA VÁLIDA</v>
      </c>
      <c r="S5" s="38">
        <f t="shared" ref="S5:S10" si="1">(IF(R5="PROPOSTA VÁLIDA",L5,0))</f>
        <v>5.3256969205834688</v>
      </c>
      <c r="T5" s="164">
        <f>IF(O5&lt;0.25,AVERAGE(S5:S7),((IF(L5&gt;P6,0,IF(L5&lt;Q6,0,L5)))+(IF(L6&gt;P6,0,IF(L6&lt;Q6,0,L6)))+(IF(L7&gt;P6,0,IF(L7&lt;Q6,0,L7))))/(((IF(L5&gt;P6,0,IF(L5&lt;Q6,0,1))))+((IF(L6&gt;P6,0,IF(L6&lt;Q6,0,1))))+((IF(L7&gt;P6,0,IF(L7&lt;Q6,0,1))))))</f>
        <v>4.8219962182603995</v>
      </c>
      <c r="U5" s="167">
        <f>IFERROR(T5*E6,"")</f>
        <v>5950.3433333333332</v>
      </c>
    </row>
    <row r="6" spans="1:22" ht="19.899999999999999" customHeight="1" x14ac:dyDescent="0.2">
      <c r="A6" s="213"/>
      <c r="B6" s="214"/>
      <c r="C6" s="120" t="s">
        <v>604</v>
      </c>
      <c r="D6" s="104" t="s">
        <v>737</v>
      </c>
      <c r="E6" s="59">
        <v>1234</v>
      </c>
      <c r="F6" s="10" t="s">
        <v>21</v>
      </c>
      <c r="G6" s="11" t="s">
        <v>22</v>
      </c>
      <c r="H6" s="12" t="s">
        <v>31</v>
      </c>
      <c r="I6" s="92">
        <v>3.86</v>
      </c>
      <c r="J6" s="20">
        <v>27.67</v>
      </c>
      <c r="K6" s="20">
        <f t="shared" ref="K6:K7" si="2">J6/$E$6</f>
        <v>2.2423014586709887E-2</v>
      </c>
      <c r="L6" s="20">
        <f t="shared" si="0"/>
        <v>3.8824230145867098</v>
      </c>
      <c r="M6" s="215"/>
      <c r="N6" s="171"/>
      <c r="O6" s="212"/>
      <c r="P6" s="40" t="str">
        <f>IF(O5&gt;=0.25,N5+M5,"CV&lt;25%")</f>
        <v>CV&lt;25%</v>
      </c>
      <c r="Q6" s="40" t="str">
        <f>IF(O5&gt;=0.25,N5-M5,"CV&lt;25%")</f>
        <v>CV&lt;25%</v>
      </c>
      <c r="R6" s="41" t="str">
        <f>IF(O5&lt;0.25,"PROPOSTA VÁLIDA",((IF(L6&gt;P6,"PROPOSTA FORA DOS LIMITES",IF(L6&lt;Q6,"PROPOSTA FORA DOS LIMITES","PROPOSTA VÁLIDA")))))</f>
        <v>PROPOSTA VÁLIDA</v>
      </c>
      <c r="S6" s="41">
        <f t="shared" si="1"/>
        <v>3.8824230145867098</v>
      </c>
      <c r="T6" s="165"/>
      <c r="U6" s="168"/>
    </row>
    <row r="7" spans="1:22" ht="19.899999999999999" customHeight="1" thickBot="1" x14ac:dyDescent="0.25">
      <c r="A7" s="177"/>
      <c r="B7" s="196"/>
      <c r="C7" s="120"/>
      <c r="D7" s="109"/>
      <c r="F7" s="14" t="s">
        <v>28</v>
      </c>
      <c r="G7" s="15" t="s">
        <v>29</v>
      </c>
      <c r="H7" s="12" t="s">
        <v>32</v>
      </c>
      <c r="I7" s="93">
        <v>5.25</v>
      </c>
      <c r="J7" s="43">
        <v>9.7100000000000009</v>
      </c>
      <c r="K7" s="43">
        <f t="shared" si="2"/>
        <v>7.8687196110210703E-3</v>
      </c>
      <c r="L7" s="43">
        <f t="shared" si="0"/>
        <v>5.2578687196110208</v>
      </c>
      <c r="M7" s="171"/>
      <c r="N7" s="172"/>
      <c r="O7" s="174"/>
      <c r="P7" s="44"/>
      <c r="Q7" s="44"/>
      <c r="R7" s="45" t="str">
        <f>IF(O5&lt;0.25,"PROPOSTA VÁLIDA",((IF(L7&gt;P6,"PROPOSTA FORA DOS LIMITES",IF(L7&lt;Q6,"PROPOSTA FORA DOS LIMITES","PROPOSTA VÁLIDA")))))</f>
        <v>PROPOSTA VÁLIDA</v>
      </c>
      <c r="S7" s="45">
        <f t="shared" si="1"/>
        <v>5.2578687196110208</v>
      </c>
      <c r="T7" s="166"/>
      <c r="U7" s="169"/>
      <c r="V7" s="13"/>
    </row>
    <row r="8" spans="1:22" ht="19.899999999999999" customHeight="1" thickTop="1" x14ac:dyDescent="0.2">
      <c r="A8" s="219" t="s">
        <v>527</v>
      </c>
      <c r="B8" s="216" t="s">
        <v>33</v>
      </c>
      <c r="C8" s="119"/>
      <c r="D8" s="103"/>
      <c r="E8" s="98"/>
      <c r="F8" s="94" t="s">
        <v>728</v>
      </c>
      <c r="G8" s="95"/>
      <c r="H8" s="12" t="s">
        <v>729</v>
      </c>
      <c r="I8" s="102">
        <v>8.09</v>
      </c>
      <c r="J8" s="96">
        <v>18.100000000000001</v>
      </c>
      <c r="K8" s="20">
        <f>J8/$E$9</f>
        <v>0.58387096774193548</v>
      </c>
      <c r="L8" s="20">
        <f t="shared" ref="L8:L10" si="3">I8+K8</f>
        <v>8.6738709677419354</v>
      </c>
      <c r="M8" s="170">
        <f>_xlfn.STDEV.S(L8:L10)</f>
        <v>0.52021710961645951</v>
      </c>
      <c r="N8" s="170">
        <f>(SUM(L8:L10))/((IF(L8=0,0,1))+(IF(L9=0,0,1))+(IF(L10=0,0,1)))</f>
        <v>8.4179569892473101</v>
      </c>
      <c r="O8" s="173">
        <f>M8/N8</f>
        <v>6.179849936046948E-2</v>
      </c>
      <c r="P8" s="37"/>
      <c r="Q8" s="37"/>
      <c r="R8" s="38" t="str">
        <f>IF(O8&lt;0.25,"PROPOSTA VÁLIDA",((IF(L8&gt;P9,"PROPOSTA FORA DOS LIMITES",IF(L8&lt;Q9,"PROPOSTA FORA DOS LIMITES","PROPOSTA VÁLIDA")))))</f>
        <v>PROPOSTA VÁLIDA</v>
      </c>
      <c r="S8" s="38">
        <f t="shared" si="1"/>
        <v>8.6738709677419354</v>
      </c>
      <c r="T8" s="164">
        <f>IF(O8&lt;0.25,AVERAGE(S8:S10),((IF(L8&gt;P9,0,IF(L8&lt;Q9,0,L8)))+(IF(L9&gt;P9,0,IF(L9&lt;Q9,0,L9)))+(IF(L10&gt;P9,0,IF(L10&lt;Q9,0,L10))))/(((IF(L8&gt;P9,0,IF(L8&lt;Q9,0,1))))+((IF(L9&gt;P9,0,IF(L9&lt;Q9,0,1))))+((IF(L10&gt;P9,0,IF(L10&lt;Q9,0,1))))))</f>
        <v>8.4179569892473101</v>
      </c>
      <c r="U8" s="167">
        <f>IFERROR(T8*E9,"")</f>
        <v>260.95666666666659</v>
      </c>
    </row>
    <row r="9" spans="1:22" ht="19.899999999999999" customHeight="1" x14ac:dyDescent="0.2">
      <c r="A9" s="220"/>
      <c r="B9" s="217"/>
      <c r="C9" s="120" t="s">
        <v>527</v>
      </c>
      <c r="D9" s="109" t="s">
        <v>737</v>
      </c>
      <c r="E9" s="59">
        <v>31</v>
      </c>
      <c r="F9" s="10" t="s">
        <v>34</v>
      </c>
      <c r="G9" s="11" t="s">
        <v>35</v>
      </c>
      <c r="H9" s="12" t="s">
        <v>36</v>
      </c>
      <c r="I9" s="92">
        <v>7.14</v>
      </c>
      <c r="J9" s="20">
        <v>21.06</v>
      </c>
      <c r="K9" s="20">
        <f>J9/E9</f>
        <v>0.67935483870967739</v>
      </c>
      <c r="L9" s="20">
        <f t="shared" si="3"/>
        <v>7.8193548387096774</v>
      </c>
      <c r="M9" s="215"/>
      <c r="N9" s="171"/>
      <c r="O9" s="212"/>
      <c r="P9" s="40" t="str">
        <f>IF(O8&gt;=0.25,N8+M8,"CV&lt;25%")</f>
        <v>CV&lt;25%</v>
      </c>
      <c r="Q9" s="40" t="str">
        <f>IF(O8&gt;=0.25,N8-M8,"CV&lt;25%")</f>
        <v>CV&lt;25%</v>
      </c>
      <c r="R9" s="41" t="str">
        <f>IF(O8&lt;0.25,"PROPOSTA VÁLIDA",((IF(L9&gt;P9,"PROPOSTA FORA DOS LIMITES",IF(L9&lt;Q9,"PROPOSTA FORA DOS LIMITES","PROPOSTA VÁLIDA")))))</f>
        <v>PROPOSTA VÁLIDA</v>
      </c>
      <c r="S9" s="41">
        <f t="shared" si="1"/>
        <v>7.8193548387096774</v>
      </c>
      <c r="T9" s="165"/>
      <c r="U9" s="168"/>
      <c r="V9" s="13"/>
    </row>
    <row r="10" spans="1:22" ht="19.899999999999999" customHeight="1" thickBot="1" x14ac:dyDescent="0.25">
      <c r="A10" s="221"/>
      <c r="B10" s="218"/>
      <c r="C10" s="121"/>
      <c r="D10" s="110"/>
      <c r="E10" s="60"/>
      <c r="F10" s="14" t="s">
        <v>23</v>
      </c>
      <c r="G10" s="15" t="s">
        <v>24</v>
      </c>
      <c r="H10" s="12" t="s">
        <v>37</v>
      </c>
      <c r="I10" s="93">
        <v>8.18</v>
      </c>
      <c r="J10" s="43">
        <v>18</v>
      </c>
      <c r="K10" s="43">
        <f>J10/E9</f>
        <v>0.58064516129032262</v>
      </c>
      <c r="L10" s="43">
        <f t="shared" si="3"/>
        <v>8.7606451612903218</v>
      </c>
      <c r="M10" s="171"/>
      <c r="N10" s="172"/>
      <c r="O10" s="174"/>
      <c r="P10" s="44"/>
      <c r="Q10" s="44"/>
      <c r="R10" s="45" t="str">
        <f>IF(O8&lt;0.25,"PROPOSTA VÁLIDA",((IF(L10&gt;P9,"PROPOSTA FORA DOS LIMITES",IF(L10&lt;Q9,"PROPOSTA FORA DOS LIMITES","PROPOSTA VÁLIDA")))))</f>
        <v>PROPOSTA VÁLIDA</v>
      </c>
      <c r="S10" s="45">
        <f t="shared" si="1"/>
        <v>8.7606451612903218</v>
      </c>
      <c r="T10" s="166"/>
      <c r="U10" s="169"/>
    </row>
    <row r="11" spans="1:22" ht="19.899999999999999" customHeight="1" thickTop="1" x14ac:dyDescent="0.2">
      <c r="A11" s="176" t="s">
        <v>528</v>
      </c>
      <c r="B11" s="195" t="s">
        <v>420</v>
      </c>
      <c r="C11" s="112"/>
      <c r="D11" s="204" t="s">
        <v>738</v>
      </c>
      <c r="E11" s="58"/>
      <c r="F11" s="8" t="s">
        <v>34</v>
      </c>
      <c r="G11" s="19" t="s">
        <v>35</v>
      </c>
      <c r="H11" s="22" t="s">
        <v>67</v>
      </c>
      <c r="I11" s="136"/>
      <c r="J11" s="125"/>
      <c r="K11" s="125"/>
      <c r="L11" s="125"/>
      <c r="M11" s="185"/>
      <c r="N11" s="185"/>
      <c r="O11" s="192"/>
      <c r="P11" s="113"/>
      <c r="Q11" s="113"/>
      <c r="R11" s="114"/>
      <c r="S11" s="114"/>
      <c r="T11" s="185"/>
      <c r="U11" s="201"/>
    </row>
    <row r="12" spans="1:22" ht="19.899999999999999" customHeight="1" x14ac:dyDescent="0.2">
      <c r="A12" s="177"/>
      <c r="B12" s="196"/>
      <c r="C12" s="109" t="s">
        <v>737</v>
      </c>
      <c r="D12" s="205"/>
      <c r="E12" s="59">
        <v>4</v>
      </c>
      <c r="F12" s="10" t="s">
        <v>21</v>
      </c>
      <c r="G12" s="11" t="s">
        <v>22</v>
      </c>
      <c r="H12" s="12" t="s">
        <v>249</v>
      </c>
      <c r="I12" s="126"/>
      <c r="J12" s="126"/>
      <c r="K12" s="126"/>
      <c r="L12" s="126"/>
      <c r="M12" s="186"/>
      <c r="N12" s="186"/>
      <c r="O12" s="193"/>
      <c r="P12" s="115"/>
      <c r="Q12" s="115"/>
      <c r="R12" s="116"/>
      <c r="S12" s="116"/>
      <c r="T12" s="186"/>
      <c r="U12" s="202"/>
      <c r="V12" s="13"/>
    </row>
    <row r="13" spans="1:22" ht="20.100000000000001" customHeight="1" thickBot="1" x14ac:dyDescent="0.25">
      <c r="A13" s="178"/>
      <c r="B13" s="197"/>
      <c r="C13" s="100"/>
      <c r="D13" s="206"/>
      <c r="E13" s="60"/>
      <c r="F13" s="14" t="s">
        <v>68</v>
      </c>
      <c r="G13" s="15" t="s">
        <v>54</v>
      </c>
      <c r="H13" s="16" t="s">
        <v>69</v>
      </c>
      <c r="I13" s="127"/>
      <c r="J13" s="127"/>
      <c r="K13" s="127"/>
      <c r="L13" s="127"/>
      <c r="M13" s="187"/>
      <c r="N13" s="187"/>
      <c r="O13" s="194"/>
      <c r="P13" s="117"/>
      <c r="Q13" s="117"/>
      <c r="R13" s="118"/>
      <c r="S13" s="118"/>
      <c r="T13" s="187"/>
      <c r="U13" s="203"/>
    </row>
    <row r="14" spans="1:22" ht="19.899999999999999" customHeight="1" thickTop="1" x14ac:dyDescent="0.2">
      <c r="A14" s="176" t="s">
        <v>611</v>
      </c>
      <c r="B14" s="195" t="s">
        <v>114</v>
      </c>
      <c r="C14" s="112"/>
      <c r="D14" s="204" t="s">
        <v>739</v>
      </c>
      <c r="E14" s="58"/>
      <c r="F14" s="8" t="s">
        <v>81</v>
      </c>
      <c r="G14" s="19" t="s">
        <v>82</v>
      </c>
      <c r="H14" s="22" t="s">
        <v>254</v>
      </c>
      <c r="I14" s="136"/>
      <c r="J14" s="125"/>
      <c r="K14" s="125"/>
      <c r="L14" s="125"/>
      <c r="M14" s="185"/>
      <c r="N14" s="185"/>
      <c r="O14" s="192"/>
      <c r="P14" s="113"/>
      <c r="Q14" s="113"/>
      <c r="R14" s="114"/>
      <c r="S14" s="114"/>
      <c r="T14" s="185"/>
      <c r="U14" s="201"/>
    </row>
    <row r="15" spans="1:22" ht="19.899999999999999" customHeight="1" x14ac:dyDescent="0.2">
      <c r="A15" s="177"/>
      <c r="B15" s="196"/>
      <c r="C15" s="109" t="s">
        <v>737</v>
      </c>
      <c r="D15" s="205"/>
      <c r="E15" s="59">
        <v>4</v>
      </c>
      <c r="F15" s="10" t="s">
        <v>21</v>
      </c>
      <c r="G15" s="11" t="s">
        <v>22</v>
      </c>
      <c r="H15" s="12" t="s">
        <v>115</v>
      </c>
      <c r="I15" s="126"/>
      <c r="J15" s="126"/>
      <c r="K15" s="126"/>
      <c r="L15" s="126"/>
      <c r="M15" s="186"/>
      <c r="N15" s="186"/>
      <c r="O15" s="193"/>
      <c r="P15" s="115"/>
      <c r="Q15" s="115"/>
      <c r="R15" s="116"/>
      <c r="S15" s="116"/>
      <c r="T15" s="186"/>
      <c r="U15" s="202"/>
      <c r="V15" s="13"/>
    </row>
    <row r="16" spans="1:22" ht="19.899999999999999" customHeight="1" thickBot="1" x14ac:dyDescent="0.25">
      <c r="A16" s="178"/>
      <c r="B16" s="197"/>
      <c r="C16" s="100"/>
      <c r="D16" s="206"/>
      <c r="E16" s="60"/>
      <c r="F16" s="14" t="s">
        <v>38</v>
      </c>
      <c r="G16" s="15" t="s">
        <v>256</v>
      </c>
      <c r="H16" s="16" t="s">
        <v>255</v>
      </c>
      <c r="I16" s="127"/>
      <c r="J16" s="127"/>
      <c r="K16" s="127"/>
      <c r="L16" s="127"/>
      <c r="M16" s="187"/>
      <c r="N16" s="187"/>
      <c r="O16" s="194"/>
      <c r="P16" s="117"/>
      <c r="Q16" s="117"/>
      <c r="R16" s="118"/>
      <c r="S16" s="118"/>
      <c r="T16" s="187"/>
      <c r="U16" s="203"/>
    </row>
    <row r="17" spans="1:22" ht="19.899999999999999" customHeight="1" thickTop="1" x14ac:dyDescent="0.2">
      <c r="A17" s="176" t="s">
        <v>613</v>
      </c>
      <c r="B17" s="188" t="s">
        <v>117</v>
      </c>
      <c r="C17" s="119"/>
      <c r="D17" s="103"/>
      <c r="E17" s="58"/>
      <c r="F17" s="8" t="s">
        <v>21</v>
      </c>
      <c r="G17" s="19" t="s">
        <v>22</v>
      </c>
      <c r="H17" s="22" t="s">
        <v>118</v>
      </c>
      <c r="I17" s="91">
        <v>5</v>
      </c>
      <c r="J17" s="21">
        <v>19.600000000000001</v>
      </c>
      <c r="K17" s="21">
        <f>J17/E18</f>
        <v>4.9000000000000004</v>
      </c>
      <c r="L17" s="21">
        <f t="shared" ref="L17:L22" si="4">I17+K17</f>
        <v>9.9</v>
      </c>
      <c r="M17" s="170">
        <f>_xlfn.STDEV.S(L17:L19)</f>
        <v>0.89769264413458028</v>
      </c>
      <c r="N17" s="170">
        <f>(SUM(L17:L19))/((IF(L17=0,0,1))+(IF(L18=0,0,1))+(IF(L19=0,0,1)))</f>
        <v>10.935833333333335</v>
      </c>
      <c r="O17" s="173">
        <f>M17/N17</f>
        <v>8.2087264570715246E-2</v>
      </c>
      <c r="P17" s="37"/>
      <c r="Q17" s="37"/>
      <c r="R17" s="38" t="str">
        <f>IF(O17&lt;0.25,"PROPOSTA VÁLIDA",((IF(L17&gt;P18,"PROPOSTA FORA DOS LIMITES",IF(L17&lt;Q18,"PROPOSTA FORA DOS LIMITES","PROPOSTA VÁLIDA")))))</f>
        <v>PROPOSTA VÁLIDA</v>
      </c>
      <c r="S17" s="38">
        <f t="shared" ref="S17:S34" si="5">(IF(R17="PROPOSTA VÁLIDA",L17,0))</f>
        <v>9.9</v>
      </c>
      <c r="T17" s="164">
        <f>IF(O17&lt;0.25,AVERAGE(S17:S19),((IF(L17&gt;P18,0,IF(L17&lt;Q18,0,L17)))+(IF(L18&gt;P18,0,IF(L18&lt;Q18,0,L18)))+(IF(L19&gt;P18,0,IF(L19&lt;Q18,0,L19))))/(((IF(L17&gt;P18,0,IF(L17&lt;Q18,0,1))))+((IF(L18&gt;P18,0,IF(L18&lt;Q18,0,1))))+((IF(L19&gt;P18,0,IF(L19&lt;Q18,0,1))))))</f>
        <v>10.935833333333335</v>
      </c>
      <c r="U17" s="167">
        <f>IFERROR(T17*E18,"")</f>
        <v>43.743333333333339</v>
      </c>
    </row>
    <row r="18" spans="1:22" ht="19.899999999999999" customHeight="1" x14ac:dyDescent="0.2">
      <c r="A18" s="177"/>
      <c r="B18" s="189"/>
      <c r="C18" s="120" t="s">
        <v>611</v>
      </c>
      <c r="D18" s="104" t="s">
        <v>737</v>
      </c>
      <c r="E18" s="59">
        <v>4</v>
      </c>
      <c r="F18" s="10" t="s">
        <v>40</v>
      </c>
      <c r="G18" s="11" t="s">
        <v>41</v>
      </c>
      <c r="H18" s="12" t="s">
        <v>119</v>
      </c>
      <c r="I18" s="92">
        <v>3.29</v>
      </c>
      <c r="J18" s="20">
        <v>32.520000000000003</v>
      </c>
      <c r="K18" s="20">
        <f>J18/E18</f>
        <v>8.1300000000000008</v>
      </c>
      <c r="L18" s="20">
        <f t="shared" si="4"/>
        <v>11.420000000000002</v>
      </c>
      <c r="M18" s="171"/>
      <c r="N18" s="171"/>
      <c r="O18" s="174"/>
      <c r="P18" s="40" t="str">
        <f>IF(O17&gt;=0.25,N17+M17,"CV&lt;25%")</f>
        <v>CV&lt;25%</v>
      </c>
      <c r="Q18" s="40" t="str">
        <f>IF(O17&gt;=0.25,N17-M17,"CV&lt;25%")</f>
        <v>CV&lt;25%</v>
      </c>
      <c r="R18" s="41" t="str">
        <f>IF(O17&lt;0.25,"PROPOSTA VÁLIDA",((IF(L18&gt;P18,"PROPOSTA FORA DOS LIMITES",IF(L18&lt;Q18,"PROPOSTA FORA DOS LIMITES","PROPOSTA VÁLIDA")))))</f>
        <v>PROPOSTA VÁLIDA</v>
      </c>
      <c r="S18" s="41">
        <f t="shared" si="5"/>
        <v>11.420000000000002</v>
      </c>
      <c r="T18" s="165"/>
      <c r="U18" s="168"/>
      <c r="V18" s="13"/>
    </row>
    <row r="19" spans="1:22" ht="19.899999999999999" customHeight="1" thickBot="1" x14ac:dyDescent="0.25">
      <c r="A19" s="178"/>
      <c r="B19" s="190"/>
      <c r="C19" s="121"/>
      <c r="D19" s="111"/>
      <c r="E19" s="60"/>
      <c r="F19" s="14" t="s">
        <v>26</v>
      </c>
      <c r="G19" s="15" t="s">
        <v>71</v>
      </c>
      <c r="H19" s="16" t="s">
        <v>257</v>
      </c>
      <c r="I19" s="93">
        <v>3.99</v>
      </c>
      <c r="J19" s="43">
        <v>29.99</v>
      </c>
      <c r="K19" s="43">
        <f>J19/E18</f>
        <v>7.4974999999999996</v>
      </c>
      <c r="L19" s="43">
        <f t="shared" si="4"/>
        <v>11.487500000000001</v>
      </c>
      <c r="M19" s="172"/>
      <c r="N19" s="172"/>
      <c r="O19" s="175"/>
      <c r="P19" s="44"/>
      <c r="Q19" s="44"/>
      <c r="R19" s="45" t="str">
        <f>IF(O17&lt;0.25,"PROPOSTA VÁLIDA",((IF(L19&gt;P18,"PROPOSTA FORA DOS LIMITES",IF(L19&lt;Q18,"PROPOSTA FORA DOS LIMITES","PROPOSTA VÁLIDA")))))</f>
        <v>PROPOSTA VÁLIDA</v>
      </c>
      <c r="S19" s="45">
        <f t="shared" si="5"/>
        <v>11.487500000000001</v>
      </c>
      <c r="T19" s="166"/>
      <c r="U19" s="169"/>
    </row>
    <row r="20" spans="1:22" ht="24" customHeight="1" thickTop="1" x14ac:dyDescent="0.2">
      <c r="A20" s="176" t="s">
        <v>614</v>
      </c>
      <c r="B20" s="188" t="s">
        <v>120</v>
      </c>
      <c r="C20" s="119"/>
      <c r="D20" s="103"/>
      <c r="E20" s="58"/>
      <c r="F20" s="8" t="s">
        <v>21</v>
      </c>
      <c r="G20" s="19" t="s">
        <v>22</v>
      </c>
      <c r="H20" s="12" t="s">
        <v>121</v>
      </c>
      <c r="I20" s="91">
        <v>12.2</v>
      </c>
      <c r="J20" s="21">
        <v>19.600000000000001</v>
      </c>
      <c r="K20" s="21">
        <f>J20/E21</f>
        <v>19.600000000000001</v>
      </c>
      <c r="L20" s="21">
        <f t="shared" si="4"/>
        <v>31.8</v>
      </c>
      <c r="M20" s="170">
        <f>_xlfn.STDEV.S(L20:L22)</f>
        <v>2.2168070131009014</v>
      </c>
      <c r="N20" s="170">
        <f>(SUM(L20:L22))/((IF(L20=0,0,1))+(IF(L21=0,0,1))+(IF(L22=0,0,1)))</f>
        <v>34.31666666666667</v>
      </c>
      <c r="O20" s="173">
        <f>M20/N20</f>
        <v>6.4598553077248211E-2</v>
      </c>
      <c r="P20" s="37"/>
      <c r="Q20" s="37"/>
      <c r="R20" s="38" t="str">
        <f>IF(O20&lt;0.25,"PROPOSTA VÁLIDA",((IF(L20&gt;P21,"PROPOSTA FORA DOS LIMITES",IF(L20&lt;Q21,"PROPOSTA FORA DOS LIMITES","PROPOSTA VÁLIDA")))))</f>
        <v>PROPOSTA VÁLIDA</v>
      </c>
      <c r="S20" s="38">
        <f t="shared" si="5"/>
        <v>31.8</v>
      </c>
      <c r="T20" s="164">
        <f>IF(O20&lt;0.25,AVERAGE(S20:S22),((IF(L20&gt;P21,0,IF(L20&lt;Q21,0,L20)))+(IF(L21&gt;P21,0,IF(L21&lt;Q21,0,L21)))+(IF(L22&gt;P21,0,IF(L22&lt;Q21,0,L22))))/(((IF(L20&gt;P21,0,IF(L20&lt;Q21,0,1))))+((IF(L21&gt;P21,0,IF(L21&lt;Q21,0,1))))+((IF(L22&gt;P21,0,IF(L22&lt;Q21,0,1))))))</f>
        <v>34.31666666666667</v>
      </c>
      <c r="U20" s="167">
        <f>IFERROR(T20*E21,"")</f>
        <v>34.31666666666667</v>
      </c>
    </row>
    <row r="21" spans="1:22" ht="26.25" customHeight="1" x14ac:dyDescent="0.2">
      <c r="A21" s="177"/>
      <c r="B21" s="189"/>
      <c r="C21" s="120" t="s">
        <v>612</v>
      </c>
      <c r="D21" s="104" t="s">
        <v>737</v>
      </c>
      <c r="E21" s="59">
        <v>1</v>
      </c>
      <c r="F21" s="10" t="s">
        <v>83</v>
      </c>
      <c r="G21" s="11" t="s">
        <v>503</v>
      </c>
      <c r="H21" s="12" t="s">
        <v>122</v>
      </c>
      <c r="I21" s="92">
        <v>22.9</v>
      </c>
      <c r="J21" s="20">
        <v>12.27</v>
      </c>
      <c r="K21" s="20">
        <f>J21/E21</f>
        <v>12.27</v>
      </c>
      <c r="L21" s="20">
        <f t="shared" si="4"/>
        <v>35.17</v>
      </c>
      <c r="M21" s="171"/>
      <c r="N21" s="171"/>
      <c r="O21" s="174"/>
      <c r="P21" s="40" t="str">
        <f>IF(O20&gt;=0.25,N20+M20,"CV&lt;25%")</f>
        <v>CV&lt;25%</v>
      </c>
      <c r="Q21" s="40" t="str">
        <f>IF(O20&gt;=0.25,N20-M20,"CV&lt;25%")</f>
        <v>CV&lt;25%</v>
      </c>
      <c r="R21" s="41" t="str">
        <f>IF(O20&lt;0.25,"PROPOSTA VÁLIDA",((IF(L21&gt;P21,"PROPOSTA FORA DOS LIMITES",IF(L21&lt;Q21,"PROPOSTA FORA DOS LIMITES","PROPOSTA VÁLIDA")))))</f>
        <v>PROPOSTA VÁLIDA</v>
      </c>
      <c r="S21" s="41">
        <f t="shared" si="5"/>
        <v>35.17</v>
      </c>
      <c r="T21" s="165"/>
      <c r="U21" s="168"/>
      <c r="V21" s="13"/>
    </row>
    <row r="22" spans="1:22" ht="19.899999999999999" customHeight="1" thickBot="1" x14ac:dyDescent="0.25">
      <c r="A22" s="178"/>
      <c r="B22" s="190"/>
      <c r="C22" s="121"/>
      <c r="D22" s="111"/>
      <c r="E22" s="60"/>
      <c r="F22" s="14" t="s">
        <v>74</v>
      </c>
      <c r="G22" s="15" t="s">
        <v>75</v>
      </c>
      <c r="H22" s="16" t="s">
        <v>258</v>
      </c>
      <c r="I22" s="93">
        <v>14.98</v>
      </c>
      <c r="J22" s="43">
        <v>21</v>
      </c>
      <c r="K22" s="43">
        <f>J22/E21</f>
        <v>21</v>
      </c>
      <c r="L22" s="43">
        <f t="shared" si="4"/>
        <v>35.980000000000004</v>
      </c>
      <c r="M22" s="172"/>
      <c r="N22" s="172"/>
      <c r="O22" s="175"/>
      <c r="P22" s="44"/>
      <c r="Q22" s="44"/>
      <c r="R22" s="45" t="str">
        <f>IF(O20&lt;0.25,"PROPOSTA VÁLIDA",((IF(L22&gt;P21,"PROPOSTA FORA DOS LIMITES",IF(L22&lt;Q21,"PROPOSTA FORA DOS LIMITES","PROPOSTA VÁLIDA")))))</f>
        <v>PROPOSTA VÁLIDA</v>
      </c>
      <c r="S22" s="45">
        <f t="shared" si="5"/>
        <v>35.980000000000004</v>
      </c>
      <c r="T22" s="166"/>
      <c r="U22" s="169"/>
    </row>
    <row r="23" spans="1:22" ht="19.899999999999999" customHeight="1" thickTop="1" x14ac:dyDescent="0.2">
      <c r="A23" s="176" t="s">
        <v>615</v>
      </c>
      <c r="B23" s="195" t="s">
        <v>123</v>
      </c>
      <c r="C23" s="112"/>
      <c r="D23" s="204" t="s">
        <v>740</v>
      </c>
      <c r="E23" s="58"/>
      <c r="F23" s="8" t="s">
        <v>83</v>
      </c>
      <c r="G23" s="19" t="s">
        <v>503</v>
      </c>
      <c r="H23" s="22" t="s">
        <v>124</v>
      </c>
      <c r="I23" s="136"/>
      <c r="J23" s="125"/>
      <c r="K23" s="125"/>
      <c r="L23" s="125"/>
      <c r="M23" s="185"/>
      <c r="N23" s="185"/>
      <c r="O23" s="192"/>
      <c r="P23" s="113"/>
      <c r="Q23" s="113"/>
      <c r="R23" s="114"/>
      <c r="S23" s="114"/>
      <c r="T23" s="185"/>
      <c r="U23" s="201"/>
    </row>
    <row r="24" spans="1:22" ht="19.899999999999999" customHeight="1" x14ac:dyDescent="0.2">
      <c r="A24" s="177"/>
      <c r="B24" s="196"/>
      <c r="C24" s="109" t="s">
        <v>737</v>
      </c>
      <c r="D24" s="205"/>
      <c r="E24" s="59">
        <v>4</v>
      </c>
      <c r="F24" s="10" t="s">
        <v>25</v>
      </c>
      <c r="G24" s="11" t="s">
        <v>80</v>
      </c>
      <c r="H24" s="12" t="s">
        <v>125</v>
      </c>
      <c r="I24" s="126"/>
      <c r="J24" s="126"/>
      <c r="K24" s="126"/>
      <c r="L24" s="126"/>
      <c r="M24" s="186"/>
      <c r="N24" s="186"/>
      <c r="O24" s="193"/>
      <c r="P24" s="115"/>
      <c r="Q24" s="115"/>
      <c r="R24" s="116"/>
      <c r="S24" s="116"/>
      <c r="T24" s="186"/>
      <c r="U24" s="202"/>
      <c r="V24" s="13"/>
    </row>
    <row r="25" spans="1:22" ht="19.899999999999999" customHeight="1" thickBot="1" x14ac:dyDescent="0.25">
      <c r="A25" s="178"/>
      <c r="B25" s="197"/>
      <c r="C25" s="100"/>
      <c r="D25" s="206"/>
      <c r="E25" s="60"/>
      <c r="F25" s="14" t="s">
        <v>81</v>
      </c>
      <c r="G25" s="15" t="s">
        <v>82</v>
      </c>
      <c r="H25" s="16" t="s">
        <v>126</v>
      </c>
      <c r="I25" s="127"/>
      <c r="J25" s="127"/>
      <c r="K25" s="127"/>
      <c r="L25" s="127"/>
      <c r="M25" s="187"/>
      <c r="N25" s="187"/>
      <c r="O25" s="194"/>
      <c r="P25" s="117"/>
      <c r="Q25" s="117"/>
      <c r="R25" s="118"/>
      <c r="S25" s="118"/>
      <c r="T25" s="187"/>
      <c r="U25" s="203"/>
    </row>
    <row r="26" spans="1:22" ht="19.899999999999999" customHeight="1" thickTop="1" x14ac:dyDescent="0.2">
      <c r="A26" s="176" t="s">
        <v>616</v>
      </c>
      <c r="B26" s="195" t="s">
        <v>127</v>
      </c>
      <c r="C26" s="112"/>
      <c r="D26" s="122"/>
      <c r="E26" s="58"/>
      <c r="F26" s="8" t="s">
        <v>83</v>
      </c>
      <c r="G26" s="19" t="s">
        <v>503</v>
      </c>
      <c r="H26" s="22" t="s">
        <v>128</v>
      </c>
      <c r="I26" s="136"/>
      <c r="J26" s="125"/>
      <c r="K26" s="125"/>
      <c r="L26" s="125"/>
      <c r="M26" s="185"/>
      <c r="N26" s="185"/>
      <c r="O26" s="192"/>
      <c r="P26" s="113"/>
      <c r="Q26" s="113"/>
      <c r="R26" s="114"/>
      <c r="S26" s="114"/>
      <c r="T26" s="185"/>
      <c r="U26" s="201"/>
    </row>
    <row r="27" spans="1:22" ht="19.899999999999999" customHeight="1" x14ac:dyDescent="0.2">
      <c r="A27" s="177"/>
      <c r="B27" s="196"/>
      <c r="C27" s="109" t="s">
        <v>737</v>
      </c>
      <c r="D27" s="123" t="s">
        <v>741</v>
      </c>
      <c r="E27" s="59">
        <v>1</v>
      </c>
      <c r="F27" s="10" t="s">
        <v>261</v>
      </c>
      <c r="G27" s="11" t="s">
        <v>260</v>
      </c>
      <c r="H27" s="12" t="s">
        <v>259</v>
      </c>
      <c r="I27" s="126"/>
      <c r="J27" s="126"/>
      <c r="K27" s="126"/>
      <c r="L27" s="126"/>
      <c r="M27" s="186"/>
      <c r="N27" s="186"/>
      <c r="O27" s="193"/>
      <c r="P27" s="115"/>
      <c r="Q27" s="115"/>
      <c r="R27" s="116"/>
      <c r="S27" s="116"/>
      <c r="T27" s="186"/>
      <c r="U27" s="202"/>
      <c r="V27" s="13"/>
    </row>
    <row r="28" spans="1:22" ht="19.899999999999999" customHeight="1" thickBot="1" x14ac:dyDescent="0.25">
      <c r="A28" s="178"/>
      <c r="B28" s="197"/>
      <c r="C28" s="100"/>
      <c r="D28" s="124"/>
      <c r="E28" s="60"/>
      <c r="F28" s="14" t="s">
        <v>263</v>
      </c>
      <c r="G28" s="15" t="s">
        <v>151</v>
      </c>
      <c r="H28" s="16" t="s">
        <v>262</v>
      </c>
      <c r="I28" s="127"/>
      <c r="J28" s="127"/>
      <c r="K28" s="127"/>
      <c r="L28" s="127"/>
      <c r="M28" s="187"/>
      <c r="N28" s="187"/>
      <c r="O28" s="194"/>
      <c r="P28" s="117"/>
      <c r="Q28" s="117"/>
      <c r="R28" s="118"/>
      <c r="S28" s="118"/>
      <c r="T28" s="187"/>
      <c r="U28" s="203"/>
    </row>
    <row r="29" spans="1:22" ht="19.899999999999999" customHeight="1" thickTop="1" x14ac:dyDescent="0.2">
      <c r="A29" s="176" t="s">
        <v>629</v>
      </c>
      <c r="B29" s="188" t="s">
        <v>422</v>
      </c>
      <c r="C29" s="119"/>
      <c r="D29" s="103"/>
      <c r="E29" s="58"/>
      <c r="F29" s="8" t="s">
        <v>40</v>
      </c>
      <c r="G29" s="19" t="s">
        <v>289</v>
      </c>
      <c r="H29" s="22" t="s">
        <v>421</v>
      </c>
      <c r="I29" s="91">
        <v>143.99</v>
      </c>
      <c r="J29" s="21">
        <v>32.520000000000003</v>
      </c>
      <c r="K29" s="21">
        <f>J29/E30</f>
        <v>32.520000000000003</v>
      </c>
      <c r="L29" s="21">
        <f t="shared" ref="L29:L31" si="6">I29+K29</f>
        <v>176.51000000000002</v>
      </c>
      <c r="M29" s="170">
        <f>_xlfn.STDEV.S(L29:L31)</f>
        <v>37.495260144894793</v>
      </c>
      <c r="N29" s="170">
        <f>(SUM(L29:L31))/((IF(L29=0,0,1))+(IF(L30=0,0,1))+(IF(L31=0,0,1)))</f>
        <v>133.22333333333333</v>
      </c>
      <c r="O29" s="173">
        <f>M29/N29</f>
        <v>0.28144664456847995</v>
      </c>
      <c r="P29" s="37"/>
      <c r="Q29" s="37"/>
      <c r="R29" s="38" t="str">
        <f>IF(O29&lt;0.25,"PROPOSTA VÁLIDA",((IF(L29&gt;P30,"PROPOSTA FORA DOS LIMITES",IF(L29&lt;Q30,"PROPOSTA FORA DOS LIMITES","PROPOSTA VÁLIDA")))))</f>
        <v>PROPOSTA FORA DOS LIMITES</v>
      </c>
      <c r="S29" s="38">
        <f t="shared" si="5"/>
        <v>0</v>
      </c>
      <c r="T29" s="164">
        <f>IF(O29&lt;0.25,AVERAGE(S29:S31),((IF(L29&gt;P30,0,IF(L29&lt;Q30,0,L29)))+(IF(L30&gt;P30,0,IF(L30&lt;Q30,0,L30)))+(IF(L31&gt;P30,0,IF(L31&lt;Q30,0,L31))))/(((IF(L29&gt;P30,0,IF(L29&lt;Q30,0,1))))+((IF(L30&gt;P30,0,IF(L30&lt;Q30,0,1))))+((IF(L31&gt;P30,0,IF(L31&lt;Q30,0,1))))))</f>
        <v>111.58</v>
      </c>
      <c r="U29" s="167">
        <f>IFERROR(T29*E30,"")</f>
        <v>111.58</v>
      </c>
    </row>
    <row r="30" spans="1:22" ht="19.899999999999999" customHeight="1" thickBot="1" x14ac:dyDescent="0.25">
      <c r="A30" s="177"/>
      <c r="B30" s="189"/>
      <c r="C30" s="120" t="s">
        <v>613</v>
      </c>
      <c r="D30" s="104" t="s">
        <v>737</v>
      </c>
      <c r="E30" s="59">
        <v>1</v>
      </c>
      <c r="F30" s="10" t="s">
        <v>731</v>
      </c>
      <c r="G30" s="11" t="s">
        <v>732</v>
      </c>
      <c r="H30" s="12" t="s">
        <v>730</v>
      </c>
      <c r="I30" s="92">
        <v>93.2</v>
      </c>
      <c r="J30" s="20">
        <v>19.149999999999999</v>
      </c>
      <c r="K30" s="20">
        <f>J30/E30</f>
        <v>19.149999999999999</v>
      </c>
      <c r="L30" s="20">
        <f t="shared" si="6"/>
        <v>112.35</v>
      </c>
      <c r="M30" s="171"/>
      <c r="N30" s="171"/>
      <c r="O30" s="174"/>
      <c r="P30" s="40">
        <f>IF(O29&gt;=0.25,N29+M29,"CV&lt;25%")</f>
        <v>170.71859347822812</v>
      </c>
      <c r="Q30" s="40">
        <f>IF(O29&gt;=0.25,N29-M29,"CV&lt;25%")</f>
        <v>95.728073188438543</v>
      </c>
      <c r="R30" s="41" t="str">
        <f>IF(O29&lt;0.25,"PROPOSTA VÁLIDA",((IF(L30&gt;P30,"PROPOSTA FORA DOS LIMITES",IF(L30&lt;Q30,"PROPOSTA FORA DOS LIMITES","PROPOSTA VÁLIDA")))))</f>
        <v>PROPOSTA VÁLIDA</v>
      </c>
      <c r="S30" s="41">
        <f t="shared" si="5"/>
        <v>112.35</v>
      </c>
      <c r="T30" s="165"/>
      <c r="U30" s="168"/>
      <c r="V30" s="13"/>
    </row>
    <row r="31" spans="1:22" ht="19.899999999999999" customHeight="1" thickTop="1" thickBot="1" x14ac:dyDescent="0.25">
      <c r="A31" s="178"/>
      <c r="B31" s="190"/>
      <c r="C31" s="121"/>
      <c r="D31" s="111"/>
      <c r="E31" s="60"/>
      <c r="F31" s="14" t="s">
        <v>83</v>
      </c>
      <c r="G31" s="15" t="s">
        <v>503</v>
      </c>
      <c r="H31" s="22" t="s">
        <v>423</v>
      </c>
      <c r="I31" s="93">
        <v>96.9</v>
      </c>
      <c r="J31" s="43">
        <v>13.91</v>
      </c>
      <c r="K31" s="43">
        <f>J31/E30</f>
        <v>13.91</v>
      </c>
      <c r="L31" s="43">
        <f t="shared" si="6"/>
        <v>110.81</v>
      </c>
      <c r="M31" s="172"/>
      <c r="N31" s="172"/>
      <c r="O31" s="175"/>
      <c r="P31" s="44"/>
      <c r="Q31" s="44"/>
      <c r="R31" s="45" t="str">
        <f>IF(O29&lt;0.25,"PROPOSTA VÁLIDA",((IF(L31&gt;P30,"PROPOSTA FORA DOS LIMITES",IF(L31&lt;Q30,"PROPOSTA FORA DOS LIMITES","PROPOSTA VÁLIDA")))))</f>
        <v>PROPOSTA VÁLIDA</v>
      </c>
      <c r="S31" s="45">
        <f t="shared" si="5"/>
        <v>110.81</v>
      </c>
      <c r="T31" s="166"/>
      <c r="U31" s="169"/>
    </row>
    <row r="32" spans="1:22" ht="19.899999999999999" customHeight="1" thickTop="1" x14ac:dyDescent="0.2">
      <c r="A32" s="176" t="s">
        <v>630</v>
      </c>
      <c r="B32" s="188" t="s">
        <v>424</v>
      </c>
      <c r="C32" s="119"/>
      <c r="D32" s="103"/>
      <c r="E32" s="58"/>
      <c r="F32" s="8" t="s">
        <v>74</v>
      </c>
      <c r="G32" s="19" t="s">
        <v>75</v>
      </c>
      <c r="H32" s="22" t="s">
        <v>425</v>
      </c>
      <c r="I32" s="91">
        <v>136.41999999999999</v>
      </c>
      <c r="J32" s="21">
        <v>21</v>
      </c>
      <c r="K32" s="21">
        <f>J32/E33</f>
        <v>21</v>
      </c>
      <c r="L32" s="21">
        <f t="shared" ref="L32:L34" si="7">I32+K32</f>
        <v>157.41999999999999</v>
      </c>
      <c r="M32" s="170">
        <f>_xlfn.STDEV.S(L32:L34)</f>
        <v>5.184219645552572</v>
      </c>
      <c r="N32" s="170">
        <f>(SUM(L32:L34))/((IF(L32=0,0,1))+(IF(L33=0,0,1))+(IF(L34=0,0,1)))</f>
        <v>152.61333333333332</v>
      </c>
      <c r="O32" s="173">
        <f>M32/N32</f>
        <v>3.3969637726405988E-2</v>
      </c>
      <c r="P32" s="37"/>
      <c r="Q32" s="37"/>
      <c r="R32" s="38" t="str">
        <f>IF(O32&lt;0.25,"PROPOSTA VÁLIDA",((IF(L32&gt;P33,"PROPOSTA FORA DOS LIMITES",IF(L32&lt;Q33,"PROPOSTA FORA DOS LIMITES","PROPOSTA VÁLIDA")))))</f>
        <v>PROPOSTA VÁLIDA</v>
      </c>
      <c r="S32" s="38">
        <f t="shared" si="5"/>
        <v>157.41999999999999</v>
      </c>
      <c r="T32" s="164">
        <f>IF(O32&lt;0.25,AVERAGE(S32:S34),((IF(L32&gt;P33,0,IF(L32&lt;Q33,0,L32)))+(IF(L33&gt;P33,0,IF(L33&lt;Q33,0,L33)))+(IF(L34&gt;P33,0,IF(L34&lt;Q33,0,L34))))/(((IF(L32&gt;P33,0,IF(L32&lt;Q33,0,1))))+((IF(L33&gt;P33,0,IF(L33&lt;Q33,0,1))))+((IF(L34&gt;P33,0,IF(L34&lt;Q33,0,1))))))</f>
        <v>152.61333333333332</v>
      </c>
      <c r="U32" s="167">
        <f>IFERROR(T32*E33,"")</f>
        <v>152.61333333333332</v>
      </c>
    </row>
    <row r="33" spans="1:22" ht="19.899999999999999" customHeight="1" x14ac:dyDescent="0.2">
      <c r="A33" s="177"/>
      <c r="B33" s="189"/>
      <c r="C33" s="120" t="s">
        <v>614</v>
      </c>
      <c r="D33" s="104" t="s">
        <v>737</v>
      </c>
      <c r="E33" s="59">
        <v>1</v>
      </c>
      <c r="F33" s="10" t="s">
        <v>426</v>
      </c>
      <c r="G33" s="11" t="s">
        <v>508</v>
      </c>
      <c r="H33" s="12" t="s">
        <v>427</v>
      </c>
      <c r="I33" s="92">
        <v>123.35</v>
      </c>
      <c r="J33" s="20">
        <v>29.95</v>
      </c>
      <c r="K33" s="20">
        <f>J33/E33</f>
        <v>29.95</v>
      </c>
      <c r="L33" s="20">
        <f t="shared" si="7"/>
        <v>153.29999999999998</v>
      </c>
      <c r="M33" s="171"/>
      <c r="N33" s="171"/>
      <c r="O33" s="174"/>
      <c r="P33" s="40" t="str">
        <f>IF(O32&gt;=0.25,N32+M32,"CV&lt;25%")</f>
        <v>CV&lt;25%</v>
      </c>
      <c r="Q33" s="40" t="str">
        <f>IF(O32&gt;=0.25,N32-M32,"CV&lt;25%")</f>
        <v>CV&lt;25%</v>
      </c>
      <c r="R33" s="41" t="str">
        <f>IF(O32&lt;0.25,"PROPOSTA VÁLIDA",((IF(L33&gt;P33,"PROPOSTA FORA DOS LIMITES",IF(L33&lt;Q33,"PROPOSTA FORA DOS LIMITES","PROPOSTA VÁLIDA")))))</f>
        <v>PROPOSTA VÁLIDA</v>
      </c>
      <c r="S33" s="41">
        <f t="shared" si="5"/>
        <v>153.29999999999998</v>
      </c>
      <c r="T33" s="165"/>
      <c r="U33" s="168"/>
      <c r="V33" s="13"/>
    </row>
    <row r="34" spans="1:22" ht="19.899999999999999" customHeight="1" thickBot="1" x14ac:dyDescent="0.25">
      <c r="A34" s="178"/>
      <c r="B34" s="190"/>
      <c r="C34" s="121"/>
      <c r="D34" s="111"/>
      <c r="E34" s="60"/>
      <c r="F34" s="14" t="s">
        <v>429</v>
      </c>
      <c r="G34" s="15" t="s">
        <v>116</v>
      </c>
      <c r="H34" s="16" t="s">
        <v>428</v>
      </c>
      <c r="I34" s="93">
        <v>124.03</v>
      </c>
      <c r="J34" s="43">
        <v>23.09</v>
      </c>
      <c r="K34" s="43">
        <f>J34/E33</f>
        <v>23.09</v>
      </c>
      <c r="L34" s="43">
        <f t="shared" si="7"/>
        <v>147.12</v>
      </c>
      <c r="M34" s="172"/>
      <c r="N34" s="172"/>
      <c r="O34" s="175"/>
      <c r="P34" s="44"/>
      <c r="Q34" s="44"/>
      <c r="R34" s="45" t="str">
        <f>IF(O32&lt;0.25,"PROPOSTA VÁLIDA",((IF(L34&gt;P33,"PROPOSTA FORA DOS LIMITES",IF(L34&lt;Q33,"PROPOSTA FORA DOS LIMITES","PROPOSTA VÁLIDA")))))</f>
        <v>PROPOSTA VÁLIDA</v>
      </c>
      <c r="S34" s="45">
        <f t="shared" si="5"/>
        <v>147.12</v>
      </c>
      <c r="T34" s="166"/>
      <c r="U34" s="169"/>
    </row>
    <row r="35" spans="1:22" ht="19.899999999999999" customHeight="1" thickTop="1" x14ac:dyDescent="0.2">
      <c r="A35" s="176" t="s">
        <v>536</v>
      </c>
      <c r="B35" s="195" t="s">
        <v>46</v>
      </c>
      <c r="C35" s="112"/>
      <c r="D35" s="198" t="s">
        <v>867</v>
      </c>
      <c r="E35" s="58"/>
      <c r="F35" s="8" t="s">
        <v>47</v>
      </c>
      <c r="G35" s="19" t="s">
        <v>48</v>
      </c>
      <c r="H35" s="22" t="s">
        <v>49</v>
      </c>
      <c r="I35" s="136"/>
      <c r="J35" s="125"/>
      <c r="K35" s="125"/>
      <c r="L35" s="125"/>
      <c r="M35" s="185"/>
      <c r="N35" s="185"/>
      <c r="O35" s="192"/>
      <c r="P35" s="113"/>
      <c r="Q35" s="113"/>
      <c r="R35" s="114"/>
      <c r="S35" s="114"/>
      <c r="T35" s="185"/>
      <c r="U35" s="201"/>
    </row>
    <row r="36" spans="1:22" ht="19.899999999999999" customHeight="1" x14ac:dyDescent="0.2">
      <c r="A36" s="177"/>
      <c r="B36" s="196"/>
      <c r="C36" s="109" t="s">
        <v>737</v>
      </c>
      <c r="D36" s="199"/>
      <c r="E36" s="59">
        <v>198</v>
      </c>
      <c r="F36" s="10" t="s">
        <v>50</v>
      </c>
      <c r="G36" s="11" t="s">
        <v>51</v>
      </c>
      <c r="H36" s="12" t="s">
        <v>52</v>
      </c>
      <c r="I36" s="126"/>
      <c r="J36" s="126"/>
      <c r="K36" s="126"/>
      <c r="L36" s="126"/>
      <c r="M36" s="186"/>
      <c r="N36" s="186"/>
      <c r="O36" s="193"/>
      <c r="P36" s="115"/>
      <c r="Q36" s="115"/>
      <c r="R36" s="116"/>
      <c r="S36" s="116"/>
      <c r="T36" s="186"/>
      <c r="U36" s="202"/>
      <c r="V36" s="13"/>
    </row>
    <row r="37" spans="1:22" ht="19.899999999999999" customHeight="1" thickBot="1" x14ac:dyDescent="0.25">
      <c r="A37" s="178"/>
      <c r="B37" s="197"/>
      <c r="C37" s="100"/>
      <c r="D37" s="200"/>
      <c r="E37" s="60"/>
      <c r="F37" s="14" t="s">
        <v>53</v>
      </c>
      <c r="G37" s="15" t="s">
        <v>54</v>
      </c>
      <c r="H37" s="16" t="s">
        <v>55</v>
      </c>
      <c r="I37" s="127"/>
      <c r="J37" s="127"/>
      <c r="K37" s="127"/>
      <c r="L37" s="127"/>
      <c r="M37" s="187"/>
      <c r="N37" s="187"/>
      <c r="O37" s="194"/>
      <c r="P37" s="117"/>
      <c r="Q37" s="117"/>
      <c r="R37" s="118"/>
      <c r="S37" s="118"/>
      <c r="T37" s="187"/>
      <c r="U37" s="203"/>
    </row>
    <row r="38" spans="1:22" ht="19.899999999999999" customHeight="1" thickTop="1" x14ac:dyDescent="0.2">
      <c r="A38" s="176" t="s">
        <v>537</v>
      </c>
      <c r="B38" s="195" t="s">
        <v>56</v>
      </c>
      <c r="C38" s="112"/>
      <c r="D38" s="122"/>
      <c r="E38" s="58"/>
      <c r="F38" s="8" t="s">
        <v>47</v>
      </c>
      <c r="G38" s="19" t="s">
        <v>48</v>
      </c>
      <c r="H38" s="22" t="s">
        <v>57</v>
      </c>
      <c r="I38" s="136"/>
      <c r="J38" s="125"/>
      <c r="K38" s="125"/>
      <c r="L38" s="125"/>
      <c r="M38" s="185"/>
      <c r="N38" s="185"/>
      <c r="O38" s="192"/>
      <c r="P38" s="113"/>
      <c r="Q38" s="113"/>
      <c r="R38" s="114"/>
      <c r="S38" s="114"/>
      <c r="T38" s="185"/>
      <c r="U38" s="201"/>
    </row>
    <row r="39" spans="1:22" ht="19.899999999999999" customHeight="1" x14ac:dyDescent="0.2">
      <c r="A39" s="177"/>
      <c r="B39" s="196"/>
      <c r="C39" s="109" t="s">
        <v>737</v>
      </c>
      <c r="D39" s="123" t="s">
        <v>866</v>
      </c>
      <c r="E39" s="59">
        <v>113</v>
      </c>
      <c r="F39" s="10" t="s">
        <v>50</v>
      </c>
      <c r="G39" s="11" t="s">
        <v>51</v>
      </c>
      <c r="H39" s="12" t="s">
        <v>52</v>
      </c>
      <c r="I39" s="126"/>
      <c r="J39" s="126"/>
      <c r="K39" s="126"/>
      <c r="L39" s="126"/>
      <c r="M39" s="186"/>
      <c r="N39" s="186"/>
      <c r="O39" s="193"/>
      <c r="P39" s="115"/>
      <c r="Q39" s="115"/>
      <c r="R39" s="116"/>
      <c r="S39" s="116"/>
      <c r="T39" s="186"/>
      <c r="U39" s="202"/>
      <c r="V39" s="13"/>
    </row>
    <row r="40" spans="1:22" ht="19.899999999999999" customHeight="1" thickBot="1" x14ac:dyDescent="0.25">
      <c r="A40" s="178"/>
      <c r="B40" s="197"/>
      <c r="C40" s="100"/>
      <c r="D40" s="124"/>
      <c r="E40" s="60"/>
      <c r="F40" s="14" t="s">
        <v>53</v>
      </c>
      <c r="G40" s="15" t="s">
        <v>54</v>
      </c>
      <c r="H40" s="16" t="s">
        <v>58</v>
      </c>
      <c r="I40" s="127"/>
      <c r="J40" s="127"/>
      <c r="K40" s="127"/>
      <c r="L40" s="127"/>
      <c r="M40" s="187"/>
      <c r="N40" s="187"/>
      <c r="O40" s="194"/>
      <c r="P40" s="117"/>
      <c r="Q40" s="117"/>
      <c r="R40" s="118"/>
      <c r="S40" s="118"/>
      <c r="T40" s="187"/>
      <c r="U40" s="203"/>
    </row>
    <row r="41" spans="1:22" ht="19.899999999999999" customHeight="1" thickTop="1" x14ac:dyDescent="0.2">
      <c r="A41" s="176" t="s">
        <v>621</v>
      </c>
      <c r="B41" s="195" t="s">
        <v>431</v>
      </c>
      <c r="C41" s="119"/>
      <c r="D41" s="103"/>
      <c r="E41" s="58"/>
      <c r="F41" s="8" t="s">
        <v>40</v>
      </c>
      <c r="G41" s="19" t="s">
        <v>289</v>
      </c>
      <c r="H41" s="22" t="s">
        <v>432</v>
      </c>
      <c r="I41" s="91">
        <v>45.89</v>
      </c>
      <c r="J41" s="21">
        <v>29.97</v>
      </c>
      <c r="K41" s="21">
        <f>J41/E42</f>
        <v>14.984999999999999</v>
      </c>
      <c r="L41" s="21">
        <f t="shared" ref="L41:L43" si="8">I41+K41</f>
        <v>60.875</v>
      </c>
      <c r="M41" s="170">
        <f>_xlfn.STDEV.S(L41:L43)</f>
        <v>3.0196150416899181</v>
      </c>
      <c r="N41" s="170">
        <f>(SUM(L41:L43))/((IF(L41=0,0,1))+(IF(L42=0,0,1))+(IF(L43=0,0,1)))</f>
        <v>64.165000000000006</v>
      </c>
      <c r="O41" s="173">
        <f>M41/N41</f>
        <v>4.7060158056415773E-2</v>
      </c>
      <c r="P41" s="37"/>
      <c r="Q41" s="37"/>
      <c r="R41" s="38" t="str">
        <f>IF(O41&lt;0.25,"PROPOSTA VÁLIDA",((IF(L41&gt;P42,"PROPOSTA FORA DOS LIMITES",IF(L41&lt;Q42,"PROPOSTA FORA DOS LIMITES","PROPOSTA VÁLIDA")))))</f>
        <v>PROPOSTA VÁLIDA</v>
      </c>
      <c r="S41" s="38">
        <f t="shared" ref="S41:S43" si="9">(IF(R41="PROPOSTA VÁLIDA",L41,0))</f>
        <v>60.875</v>
      </c>
      <c r="T41" s="164">
        <f>IF(O41&lt;0.25,AVERAGE(S41:S43),((IF(L41&gt;P42,0,IF(L41&lt;Q42,0,L41)))+(IF(L42&gt;P42,0,IF(L42&lt;Q42,0,L42)))+(IF(L43&gt;P42,0,IF(L43&lt;Q42,0,L43))))/(((IF(L41&gt;P42,0,IF(L41&lt;Q42,0,1))))+((IF(L42&gt;P42,0,IF(L42&lt;Q42,0,1))))+((IF(L43&gt;P42,0,IF(L43&lt;Q42,0,1))))))</f>
        <v>64.165000000000006</v>
      </c>
      <c r="U41" s="167">
        <f>IFERROR(T41*E42,"")</f>
        <v>128.33000000000001</v>
      </c>
    </row>
    <row r="42" spans="1:22" ht="19.899999999999999" customHeight="1" x14ac:dyDescent="0.2">
      <c r="A42" s="177"/>
      <c r="B42" s="196"/>
      <c r="C42" s="120" t="s">
        <v>885</v>
      </c>
      <c r="D42" s="104" t="s">
        <v>737</v>
      </c>
      <c r="E42" s="59">
        <v>2</v>
      </c>
      <c r="F42" s="10" t="s">
        <v>72</v>
      </c>
      <c r="G42" s="11" t="s">
        <v>73</v>
      </c>
      <c r="H42" s="12" t="s">
        <v>430</v>
      </c>
      <c r="I42" s="92">
        <v>56.59</v>
      </c>
      <c r="J42" s="20">
        <v>20.440000000000001</v>
      </c>
      <c r="K42" s="20">
        <f>J42/E42</f>
        <v>10.220000000000001</v>
      </c>
      <c r="L42" s="20">
        <f t="shared" si="8"/>
        <v>66.81</v>
      </c>
      <c r="M42" s="171"/>
      <c r="N42" s="171"/>
      <c r="O42" s="174"/>
      <c r="P42" s="40" t="str">
        <f>IF(O41&gt;=0.25,N41+M41,"CV&lt;25%")</f>
        <v>CV&lt;25%</v>
      </c>
      <c r="Q42" s="40" t="str">
        <f>IF(O41&gt;=0.25,N41-M41,"CV&lt;25%")</f>
        <v>CV&lt;25%</v>
      </c>
      <c r="R42" s="41" t="str">
        <f>IF(O41&lt;0.25,"PROPOSTA VÁLIDA",((IF(L42&gt;P42,"PROPOSTA FORA DOS LIMITES",IF(L42&lt;Q42,"PROPOSTA FORA DOS LIMITES","PROPOSTA VÁLIDA")))))</f>
        <v>PROPOSTA VÁLIDA</v>
      </c>
      <c r="S42" s="41">
        <f t="shared" si="9"/>
        <v>66.81</v>
      </c>
      <c r="T42" s="165"/>
      <c r="U42" s="168"/>
      <c r="V42" s="13"/>
    </row>
    <row r="43" spans="1:22" ht="19.899999999999999" customHeight="1" thickBot="1" x14ac:dyDescent="0.25">
      <c r="A43" s="178"/>
      <c r="B43" s="197"/>
      <c r="C43" s="121"/>
      <c r="D43" s="111"/>
      <c r="E43" s="60"/>
      <c r="F43" s="14" t="s">
        <v>25</v>
      </c>
      <c r="G43" s="15" t="s">
        <v>102</v>
      </c>
      <c r="H43" s="16" t="s">
        <v>433</v>
      </c>
      <c r="I43" s="93">
        <v>54.89</v>
      </c>
      <c r="J43" s="43">
        <v>19.84</v>
      </c>
      <c r="K43" s="43">
        <f>J43/E42</f>
        <v>9.92</v>
      </c>
      <c r="L43" s="43">
        <f t="shared" si="8"/>
        <v>64.81</v>
      </c>
      <c r="M43" s="172"/>
      <c r="N43" s="172"/>
      <c r="O43" s="175"/>
      <c r="P43" s="44"/>
      <c r="Q43" s="44"/>
      <c r="R43" s="45" t="str">
        <f>IF(O41&lt;0.25,"PROPOSTA VÁLIDA",((IF(L43&gt;P42,"PROPOSTA FORA DOS LIMITES",IF(L43&lt;Q42,"PROPOSTA FORA DOS LIMITES","PROPOSTA VÁLIDA")))))</f>
        <v>PROPOSTA VÁLIDA</v>
      </c>
      <c r="S43" s="45">
        <f t="shared" si="9"/>
        <v>64.81</v>
      </c>
      <c r="T43" s="166"/>
      <c r="U43" s="169"/>
    </row>
    <row r="44" spans="1:22" ht="19.899999999999999" customHeight="1" thickTop="1" x14ac:dyDescent="0.2">
      <c r="A44" s="176" t="s">
        <v>622</v>
      </c>
      <c r="B44" s="188" t="s">
        <v>435</v>
      </c>
      <c r="C44" s="119"/>
      <c r="D44" s="103"/>
      <c r="E44" s="58"/>
      <c r="F44" s="8" t="s">
        <v>74</v>
      </c>
      <c r="G44" s="19" t="s">
        <v>75</v>
      </c>
      <c r="H44" s="22" t="s">
        <v>434</v>
      </c>
      <c r="I44" s="91">
        <v>54.34</v>
      </c>
      <c r="J44" s="21">
        <v>17.899999999999999</v>
      </c>
      <c r="K44" s="21">
        <f>J44/E45</f>
        <v>4.4749999999999996</v>
      </c>
      <c r="L44" s="21">
        <f t="shared" ref="L44:L55" si="10">I44+K44</f>
        <v>58.815000000000005</v>
      </c>
      <c r="M44" s="170">
        <f>_xlfn.STDEV.S(L44:L46)</f>
        <v>4.1167971470549789</v>
      </c>
      <c r="N44" s="170">
        <f>(SUM(L44:L46))/((IF(L44=0,0,1))+(IF(L45=0,0,1))+(IF(L46=0,0,1)))</f>
        <v>54.0625</v>
      </c>
      <c r="O44" s="173">
        <f>M44/N44</f>
        <v>7.6148848962866666E-2</v>
      </c>
      <c r="P44" s="37"/>
      <c r="Q44" s="37"/>
      <c r="R44" s="38" t="str">
        <f>IF(O44&lt;0.25,"PROPOSTA VÁLIDA",((IF(L44&gt;P45,"PROPOSTA FORA DOS LIMITES",IF(L44&lt;Q45,"PROPOSTA FORA DOS LIMITES","PROPOSTA VÁLIDA")))))</f>
        <v>PROPOSTA VÁLIDA</v>
      </c>
      <c r="S44" s="38">
        <f t="shared" ref="S44:S55" si="11">(IF(R44="PROPOSTA VÁLIDA",L44,0))</f>
        <v>58.815000000000005</v>
      </c>
      <c r="T44" s="164">
        <f>IF(O44&lt;0.25,AVERAGE(S44:S46),((IF(L44&gt;P45,0,IF(L44&lt;Q45,0,L44)))+(IF(L45&gt;P45,0,IF(L45&lt;Q45,0,L45)))+(IF(L46&gt;P45,0,IF(L46&lt;Q45,0,L46))))/(((IF(L44&gt;P45,0,IF(L44&lt;Q45,0,1))))+((IF(L45&gt;P45,0,IF(L45&lt;Q45,0,1))))+((IF(L46&gt;P45,0,IF(L46&lt;Q45,0,1))))))</f>
        <v>54.0625</v>
      </c>
      <c r="U44" s="167">
        <f>IFERROR(T44*E45,"")</f>
        <v>216.25</v>
      </c>
    </row>
    <row r="45" spans="1:22" ht="19.899999999999999" customHeight="1" x14ac:dyDescent="0.2">
      <c r="A45" s="177"/>
      <c r="B45" s="189"/>
      <c r="C45" s="120" t="s">
        <v>886</v>
      </c>
      <c r="D45" s="104" t="s">
        <v>737</v>
      </c>
      <c r="E45" s="59">
        <v>4</v>
      </c>
      <c r="F45" s="10" t="s">
        <v>38</v>
      </c>
      <c r="G45" s="11" t="s">
        <v>256</v>
      </c>
      <c r="H45" s="12" t="s">
        <v>436</v>
      </c>
      <c r="I45" s="92">
        <v>47.4</v>
      </c>
      <c r="J45" s="20">
        <v>16.78</v>
      </c>
      <c r="K45" s="20">
        <f>J45/E45</f>
        <v>4.1950000000000003</v>
      </c>
      <c r="L45" s="20">
        <f t="shared" si="10"/>
        <v>51.594999999999999</v>
      </c>
      <c r="M45" s="171"/>
      <c r="N45" s="171"/>
      <c r="O45" s="174"/>
      <c r="P45" s="40" t="str">
        <f>IF(O44&gt;=0.25,N44+M44,"CV&lt;25%")</f>
        <v>CV&lt;25%</v>
      </c>
      <c r="Q45" s="40" t="str">
        <f>IF(O44&gt;=0.25,N44-M44,"CV&lt;25%")</f>
        <v>CV&lt;25%</v>
      </c>
      <c r="R45" s="41" t="str">
        <f>IF(O44&lt;0.25,"PROPOSTA VÁLIDA",((IF(L45&gt;P45,"PROPOSTA FORA DOS LIMITES",IF(L45&lt;Q45,"PROPOSTA FORA DOS LIMITES","PROPOSTA VÁLIDA")))))</f>
        <v>PROPOSTA VÁLIDA</v>
      </c>
      <c r="S45" s="41">
        <f t="shared" si="11"/>
        <v>51.594999999999999</v>
      </c>
      <c r="T45" s="165"/>
      <c r="U45" s="168"/>
      <c r="V45" s="13"/>
    </row>
    <row r="46" spans="1:22" ht="19.899999999999999" customHeight="1" thickBot="1" x14ac:dyDescent="0.25">
      <c r="A46" s="178"/>
      <c r="B46" s="190"/>
      <c r="C46" s="121"/>
      <c r="D46" s="111"/>
      <c r="E46" s="60"/>
      <c r="F46" s="14" t="s">
        <v>40</v>
      </c>
      <c r="G46" s="15" t="s">
        <v>289</v>
      </c>
      <c r="H46" s="16" t="s">
        <v>437</v>
      </c>
      <c r="I46" s="93">
        <v>44.64</v>
      </c>
      <c r="J46" s="43">
        <v>28.55</v>
      </c>
      <c r="K46" s="43">
        <f>J46/E45</f>
        <v>7.1375000000000002</v>
      </c>
      <c r="L46" s="43">
        <f t="shared" si="10"/>
        <v>51.777500000000003</v>
      </c>
      <c r="M46" s="172"/>
      <c r="N46" s="172"/>
      <c r="O46" s="175"/>
      <c r="P46" s="44"/>
      <c r="Q46" s="44"/>
      <c r="R46" s="45" t="str">
        <f>IF(O44&lt;0.25,"PROPOSTA VÁLIDA",((IF(L46&gt;P45,"PROPOSTA FORA DOS LIMITES",IF(L46&lt;Q45,"PROPOSTA FORA DOS LIMITES","PROPOSTA VÁLIDA")))))</f>
        <v>PROPOSTA VÁLIDA</v>
      </c>
      <c r="S46" s="45">
        <f t="shared" si="11"/>
        <v>51.777500000000003</v>
      </c>
      <c r="T46" s="166"/>
      <c r="U46" s="169"/>
    </row>
    <row r="47" spans="1:22" ht="19.899999999999999" customHeight="1" thickTop="1" x14ac:dyDescent="0.2">
      <c r="A47" s="176" t="s">
        <v>529</v>
      </c>
      <c r="B47" s="188" t="s">
        <v>487</v>
      </c>
      <c r="C47" s="119"/>
      <c r="D47" s="103"/>
      <c r="E47" s="58"/>
      <c r="F47" s="8" t="s">
        <v>40</v>
      </c>
      <c r="G47" s="19" t="s">
        <v>289</v>
      </c>
      <c r="H47" s="22" t="s">
        <v>486</v>
      </c>
      <c r="I47" s="91">
        <v>35.99</v>
      </c>
      <c r="J47" s="21">
        <v>29.97</v>
      </c>
      <c r="K47" s="21">
        <f>J47/E48</f>
        <v>7.4924999999999997</v>
      </c>
      <c r="L47" s="21">
        <f t="shared" si="10"/>
        <v>43.482500000000002</v>
      </c>
      <c r="M47" s="170">
        <f>_xlfn.STDEV.S(L47:L49)</f>
        <v>20.54748529828732</v>
      </c>
      <c r="N47" s="170">
        <f>(SUM(L47:L49))/((IF(L47=0,0,1))+(IF(L48=0,0,1))+(IF(L49=0,0,1)))</f>
        <v>57.311666666666667</v>
      </c>
      <c r="O47" s="173">
        <f>M47/N47</f>
        <v>0.35852185939373576</v>
      </c>
      <c r="P47" s="37"/>
      <c r="Q47" s="37"/>
      <c r="R47" s="38" t="str">
        <f>IF(O47&lt;0.25,"PROPOSTA VÁLIDA",((IF(L47&gt;P48,"PROPOSTA FORA DOS LIMITES",IF(L47&lt;Q48,"PROPOSTA FORA DOS LIMITES","PROPOSTA VÁLIDA")))))</f>
        <v>PROPOSTA VÁLIDA</v>
      </c>
      <c r="S47" s="38">
        <f t="shared" si="11"/>
        <v>43.482500000000002</v>
      </c>
      <c r="T47" s="164">
        <f>IF(O47&lt;0.25,AVERAGE(S47:S49),((IF(L47&gt;P48,0,IF(L47&lt;Q48,0,L47)))+(IF(L48&gt;P48,0,IF(L48&lt;Q48,0,L48)))+(IF(L49&gt;P48,0,IF(L49&lt;Q48,0,L49))))/(((IF(L47&gt;P48,0,IF(L47&lt;Q48,0,1))))+((IF(L48&gt;P48,0,IF(L48&lt;Q48,0,1))))+((IF(L49&gt;P48,0,IF(L49&lt;Q48,0,1))))))</f>
        <v>45.506250000000001</v>
      </c>
      <c r="U47" s="167">
        <f>IFERROR(T47*E48,"")</f>
        <v>182.02500000000001</v>
      </c>
    </row>
    <row r="48" spans="1:22" ht="19.899999999999999" customHeight="1" x14ac:dyDescent="0.2">
      <c r="A48" s="177"/>
      <c r="B48" s="189"/>
      <c r="C48" s="120" t="s">
        <v>616</v>
      </c>
      <c r="D48" s="104" t="s">
        <v>737</v>
      </c>
      <c r="E48" s="59">
        <v>4</v>
      </c>
      <c r="F48" s="10" t="s">
        <v>78</v>
      </c>
      <c r="G48" s="11" t="s">
        <v>79</v>
      </c>
      <c r="H48" s="12" t="s">
        <v>488</v>
      </c>
      <c r="I48" s="92">
        <v>44.21</v>
      </c>
      <c r="J48" s="20">
        <v>13.28</v>
      </c>
      <c r="K48" s="20">
        <f>J48/E48</f>
        <v>3.32</v>
      </c>
      <c r="L48" s="20">
        <f t="shared" si="10"/>
        <v>47.53</v>
      </c>
      <c r="M48" s="171"/>
      <c r="N48" s="171"/>
      <c r="O48" s="174"/>
      <c r="P48" s="40">
        <f>IF(O47&gt;=0.25,N47+M47,"CV&lt;25%")</f>
        <v>77.85915196495398</v>
      </c>
      <c r="Q48" s="40">
        <f>IF(O47&gt;=0.25,N47-M47,"CV&lt;25%")</f>
        <v>36.764181368379347</v>
      </c>
      <c r="R48" s="41" t="str">
        <f>IF(O47&lt;0.25,"PROPOSTA VÁLIDA",((IF(L48&gt;P48,"PROPOSTA FORA DOS LIMITES",IF(L48&lt;Q48,"PROPOSTA FORA DOS LIMITES","PROPOSTA VÁLIDA")))))</f>
        <v>PROPOSTA VÁLIDA</v>
      </c>
      <c r="S48" s="41">
        <f t="shared" si="11"/>
        <v>47.53</v>
      </c>
      <c r="T48" s="165"/>
      <c r="U48" s="168"/>
      <c r="V48" s="13"/>
    </row>
    <row r="49" spans="1:22" ht="19.899999999999999" customHeight="1" thickBot="1" x14ac:dyDescent="0.25">
      <c r="A49" s="178"/>
      <c r="B49" s="190"/>
      <c r="C49" s="121"/>
      <c r="D49" s="111"/>
      <c r="E49" s="60"/>
      <c r="F49" s="14" t="s">
        <v>68</v>
      </c>
      <c r="G49" s="15" t="s">
        <v>54</v>
      </c>
      <c r="H49" s="16" t="s">
        <v>489</v>
      </c>
      <c r="I49" s="93">
        <v>75.09</v>
      </c>
      <c r="J49" s="43">
        <v>23.33</v>
      </c>
      <c r="K49" s="43">
        <f>J49/E48</f>
        <v>5.8324999999999996</v>
      </c>
      <c r="L49" s="43">
        <f t="shared" si="10"/>
        <v>80.922499999999999</v>
      </c>
      <c r="M49" s="172"/>
      <c r="N49" s="172"/>
      <c r="O49" s="175"/>
      <c r="P49" s="44"/>
      <c r="Q49" s="44"/>
      <c r="R49" s="45" t="str">
        <f>IF(O47&lt;0.25,"PROPOSTA VÁLIDA",((IF(L49&gt;P48,"PROPOSTA FORA DOS LIMITES",IF(L49&lt;Q48,"PROPOSTA FORA DOS LIMITES","PROPOSTA VÁLIDA")))))</f>
        <v>PROPOSTA FORA DOS LIMITES</v>
      </c>
      <c r="S49" s="45">
        <f t="shared" si="11"/>
        <v>0</v>
      </c>
      <c r="T49" s="166"/>
      <c r="U49" s="169"/>
    </row>
    <row r="50" spans="1:22" ht="19.899999999999999" customHeight="1" thickTop="1" x14ac:dyDescent="0.2">
      <c r="A50" s="176" t="s">
        <v>624</v>
      </c>
      <c r="B50" s="188" t="s">
        <v>298</v>
      </c>
      <c r="C50" s="119"/>
      <c r="D50" s="103"/>
      <c r="E50" s="58"/>
      <c r="F50" s="8" t="s">
        <v>74</v>
      </c>
      <c r="G50" s="19" t="s">
        <v>75</v>
      </c>
      <c r="H50" s="22" t="s">
        <v>299</v>
      </c>
      <c r="I50" s="91">
        <v>2.5</v>
      </c>
      <c r="J50" s="21">
        <v>19.600000000000001</v>
      </c>
      <c r="K50" s="21">
        <f>J50/E51</f>
        <v>0.63225806451612909</v>
      </c>
      <c r="L50" s="21">
        <f t="shared" si="10"/>
        <v>3.1322580645161291</v>
      </c>
      <c r="M50" s="170">
        <f>_xlfn.STDEV.S(L50:L52)</f>
        <v>0.2134808878801906</v>
      </c>
      <c r="N50" s="170">
        <f>(SUM(L50:L52))/((IF(L50=0,0,1))+(IF(L51=0,0,1))+(IF(L52=0,0,1)))</f>
        <v>3.3732258064516132</v>
      </c>
      <c r="O50" s="173">
        <f>M50/N50</f>
        <v>6.3286865489967564E-2</v>
      </c>
      <c r="P50" s="37"/>
      <c r="Q50" s="37"/>
      <c r="R50" s="38" t="str">
        <f>IF(O50&lt;0.25,"PROPOSTA VÁLIDA",((IF(L50&gt;P51,"PROPOSTA FORA DOS LIMITES",IF(L50&lt;Q51,"PROPOSTA FORA DOS LIMITES","PROPOSTA VÁLIDA")))))</f>
        <v>PROPOSTA VÁLIDA</v>
      </c>
      <c r="S50" s="38">
        <f t="shared" si="11"/>
        <v>3.1322580645161291</v>
      </c>
      <c r="T50" s="164">
        <f>IF(O50&lt;0.25,AVERAGE(S50:S52),((IF(L50&gt;P51,0,IF(L50&lt;Q51,0,L50)))+(IF(L51&gt;P51,0,IF(L51&lt;Q51,0,L51)))+(IF(L52&gt;P51,0,IF(L52&lt;Q51,0,L52))))/(((IF(L50&gt;P51,0,IF(L50&lt;Q51,0,1))))+((IF(L51&gt;P51,0,IF(L51&lt;Q51,0,1))))+((IF(L52&gt;P51,0,IF(L52&lt;Q51,0,1))))))</f>
        <v>3.3732258064516132</v>
      </c>
      <c r="U50" s="167">
        <f>IFERROR(T50*E51,"")</f>
        <v>104.57000000000001</v>
      </c>
    </row>
    <row r="51" spans="1:22" ht="19.899999999999999" customHeight="1" x14ac:dyDescent="0.2">
      <c r="A51" s="177"/>
      <c r="B51" s="189"/>
      <c r="C51" s="120" t="s">
        <v>629</v>
      </c>
      <c r="D51" s="104" t="s">
        <v>737</v>
      </c>
      <c r="E51" s="59">
        <v>31</v>
      </c>
      <c r="F51" s="10" t="s">
        <v>150</v>
      </c>
      <c r="G51" s="11" t="s">
        <v>151</v>
      </c>
      <c r="H51" s="12" t="s">
        <v>300</v>
      </c>
      <c r="I51" s="92">
        <v>2.74</v>
      </c>
      <c r="J51" s="20">
        <v>24.76</v>
      </c>
      <c r="K51" s="20">
        <f>J51/E51</f>
        <v>0.79870967741935484</v>
      </c>
      <c r="L51" s="20">
        <f t="shared" si="10"/>
        <v>3.5387096774193552</v>
      </c>
      <c r="M51" s="171"/>
      <c r="N51" s="171"/>
      <c r="O51" s="174"/>
      <c r="P51" s="40" t="str">
        <f>IF(O50&gt;=0.25,N50+M50,"CV&lt;25%")</f>
        <v>CV&lt;25%</v>
      </c>
      <c r="Q51" s="40" t="str">
        <f>IF(O50&gt;=0.25,N50-M50,"CV&lt;25%")</f>
        <v>CV&lt;25%</v>
      </c>
      <c r="R51" s="41" t="str">
        <f>IF(O50&lt;0.25,"PROPOSTA VÁLIDA",((IF(L51&gt;P51,"PROPOSTA FORA DOS LIMITES",IF(L51&lt;Q51,"PROPOSTA FORA DOS LIMITES","PROPOSTA VÁLIDA")))))</f>
        <v>PROPOSTA VÁLIDA</v>
      </c>
      <c r="S51" s="41">
        <f t="shared" si="11"/>
        <v>3.5387096774193552</v>
      </c>
      <c r="T51" s="165"/>
      <c r="U51" s="168"/>
      <c r="V51" s="13"/>
    </row>
    <row r="52" spans="1:22" ht="19.899999999999999" customHeight="1" thickBot="1" x14ac:dyDescent="0.25">
      <c r="A52" s="178"/>
      <c r="B52" s="190"/>
      <c r="C52" s="121"/>
      <c r="D52" s="111"/>
      <c r="E52" s="60"/>
      <c r="F52" s="14" t="s">
        <v>302</v>
      </c>
      <c r="G52" s="15" t="s">
        <v>494</v>
      </c>
      <c r="H52" s="16" t="s">
        <v>301</v>
      </c>
      <c r="I52" s="93">
        <v>2.65</v>
      </c>
      <c r="J52" s="43">
        <v>24.76</v>
      </c>
      <c r="K52" s="43">
        <f>J52/E51</f>
        <v>0.79870967741935484</v>
      </c>
      <c r="L52" s="43">
        <f t="shared" si="10"/>
        <v>3.4487096774193549</v>
      </c>
      <c r="M52" s="172"/>
      <c r="N52" s="172"/>
      <c r="O52" s="175"/>
      <c r="P52" s="44"/>
      <c r="Q52" s="44"/>
      <c r="R52" s="45" t="str">
        <f>IF(O50&lt;0.25,"PROPOSTA VÁLIDA",((IF(L52&gt;P51,"PROPOSTA FORA DOS LIMITES",IF(L52&lt;Q51,"PROPOSTA FORA DOS LIMITES","PROPOSTA VÁLIDA")))))</f>
        <v>PROPOSTA VÁLIDA</v>
      </c>
      <c r="S52" s="45">
        <f t="shared" si="11"/>
        <v>3.4487096774193549</v>
      </c>
      <c r="T52" s="166"/>
      <c r="U52" s="169"/>
    </row>
    <row r="53" spans="1:22" ht="19.899999999999999" customHeight="1" thickTop="1" x14ac:dyDescent="0.2">
      <c r="A53" s="176" t="s">
        <v>631</v>
      </c>
      <c r="B53" s="195" t="s">
        <v>333</v>
      </c>
      <c r="C53" s="119"/>
      <c r="D53" s="103"/>
      <c r="E53" s="58"/>
      <c r="F53" s="8" t="s">
        <v>74</v>
      </c>
      <c r="G53" s="19" t="s">
        <v>75</v>
      </c>
      <c r="H53" s="22" t="s">
        <v>338</v>
      </c>
      <c r="I53" s="21">
        <v>0.77</v>
      </c>
      <c r="J53" s="21">
        <v>17.149999999999999</v>
      </c>
      <c r="K53" s="21">
        <f>J53/E54</f>
        <v>0.18244680851063827</v>
      </c>
      <c r="L53" s="21">
        <f t="shared" si="10"/>
        <v>0.95244680851063834</v>
      </c>
      <c r="M53" s="170">
        <f>_xlfn.STDEV.S(L53:L55)</f>
        <v>0.8088966253890959</v>
      </c>
      <c r="N53" s="170">
        <f>(SUM(L53:L55))/((IF(L53=0,0,1))+(IF(L54=0,0,1))+(IF(L55=0,0,1)))</f>
        <v>1.8623404255319149</v>
      </c>
      <c r="O53" s="173">
        <f>M53/N53</f>
        <v>0.43434412650848286</v>
      </c>
      <c r="P53" s="37"/>
      <c r="Q53" s="37"/>
      <c r="R53" s="38" t="str">
        <f>IF(O53&lt;0.25,"PROPOSTA VÁLIDA",((IF(L53&gt;P54,"PROPOSTA FORA DOS LIMITES",IF(L53&lt;Q54,"PROPOSTA FORA DOS LIMITES","PROPOSTA VÁLIDA")))))</f>
        <v>PROPOSTA FORA DOS LIMITES</v>
      </c>
      <c r="S53" s="38">
        <f t="shared" si="11"/>
        <v>0</v>
      </c>
      <c r="T53" s="164">
        <f>IF(O53&lt;0.25,AVERAGE(S53:S55),((IF(L53&gt;P54,0,IF(L53&lt;Q54,0,L53)))+(IF(L54&gt;P54,0,IF(L54&lt;Q54,0,L54)))+(IF(L55&gt;P54,0,IF(L55&lt;Q54,0,L55))))/(((IF(L53&gt;P54,0,IF(L53&lt;Q54,0,1))))+((IF(L54&gt;P54,0,IF(L54&lt;Q54,0,1))))+((IF(L55&gt;P54,0,IF(L55&lt;Q54,0,1))))))</f>
        <v>2.3172872340425532</v>
      </c>
      <c r="U53" s="167">
        <f>IFERROR(T53*E54,"")</f>
        <v>217.82499999999999</v>
      </c>
    </row>
    <row r="54" spans="1:22" ht="19.899999999999999" customHeight="1" x14ac:dyDescent="0.2">
      <c r="A54" s="177"/>
      <c r="B54" s="196"/>
      <c r="C54" s="120" t="s">
        <v>863</v>
      </c>
      <c r="D54" s="104" t="s">
        <v>737</v>
      </c>
      <c r="E54" s="59">
        <v>94</v>
      </c>
      <c r="F54" s="10" t="s">
        <v>336</v>
      </c>
      <c r="G54" s="11" t="s">
        <v>504</v>
      </c>
      <c r="H54" s="12" t="s">
        <v>337</v>
      </c>
      <c r="I54" s="20">
        <v>2.5</v>
      </c>
      <c r="J54" s="20">
        <v>0</v>
      </c>
      <c r="K54" s="20">
        <f>J54/E54</f>
        <v>0</v>
      </c>
      <c r="L54" s="20">
        <f t="shared" si="10"/>
        <v>2.5</v>
      </c>
      <c r="M54" s="171"/>
      <c r="N54" s="171"/>
      <c r="O54" s="174"/>
      <c r="P54" s="40">
        <f>IF(O53&gt;=0.25,N53+M53,"CV&lt;25%")</f>
        <v>2.671237050921011</v>
      </c>
      <c r="Q54" s="40">
        <f>IF(O53&gt;=0.25,N53-M53,"CV&lt;25%")</f>
        <v>1.053443800142819</v>
      </c>
      <c r="R54" s="41" t="str">
        <f>IF(O53&lt;0.25,"PROPOSTA VÁLIDA",((IF(L54&gt;P54,"PROPOSTA FORA DOS LIMITES",IF(L54&lt;Q54,"PROPOSTA FORA DOS LIMITES","PROPOSTA VÁLIDA")))))</f>
        <v>PROPOSTA VÁLIDA</v>
      </c>
      <c r="S54" s="41">
        <f t="shared" si="11"/>
        <v>2.5</v>
      </c>
      <c r="T54" s="165"/>
      <c r="U54" s="168"/>
      <c r="V54" s="13"/>
    </row>
    <row r="55" spans="1:22" ht="19.899999999999999" customHeight="1" thickBot="1" x14ac:dyDescent="0.25">
      <c r="A55" s="178"/>
      <c r="B55" s="197"/>
      <c r="C55" s="121"/>
      <c r="D55" s="111"/>
      <c r="E55" s="60"/>
      <c r="F55" s="14" t="s">
        <v>334</v>
      </c>
      <c r="G55" s="15" t="s">
        <v>503</v>
      </c>
      <c r="H55" s="16" t="s">
        <v>335</v>
      </c>
      <c r="I55" s="43">
        <v>1.99</v>
      </c>
      <c r="J55" s="43">
        <v>13.59</v>
      </c>
      <c r="K55" s="43">
        <f>J55/E54</f>
        <v>0.14457446808510638</v>
      </c>
      <c r="L55" s="43">
        <f t="shared" si="10"/>
        <v>2.1345744680851064</v>
      </c>
      <c r="M55" s="172"/>
      <c r="N55" s="172"/>
      <c r="O55" s="175"/>
      <c r="P55" s="44"/>
      <c r="Q55" s="44"/>
      <c r="R55" s="45" t="str">
        <f>IF(O53&lt;0.25,"PROPOSTA VÁLIDA",((IF(L55&gt;P54,"PROPOSTA FORA DOS LIMITES",IF(L55&lt;Q54,"PROPOSTA FORA DOS LIMITES","PROPOSTA VÁLIDA")))))</f>
        <v>PROPOSTA VÁLIDA</v>
      </c>
      <c r="S55" s="45">
        <f t="shared" si="11"/>
        <v>2.1345744680851064</v>
      </c>
      <c r="T55" s="166"/>
      <c r="U55" s="169"/>
    </row>
    <row r="56" spans="1:22" ht="19.899999999999999" customHeight="1" thickTop="1" x14ac:dyDescent="0.2">
      <c r="A56" s="176" t="s">
        <v>625</v>
      </c>
      <c r="B56" s="195" t="s">
        <v>397</v>
      </c>
      <c r="C56" s="112"/>
      <c r="D56" s="198" t="s">
        <v>864</v>
      </c>
      <c r="E56" s="58"/>
      <c r="F56" s="8" t="s">
        <v>20</v>
      </c>
      <c r="G56" s="19" t="s">
        <v>39</v>
      </c>
      <c r="H56" s="22" t="s">
        <v>396</v>
      </c>
      <c r="I56" s="136"/>
      <c r="J56" s="125"/>
      <c r="K56" s="125"/>
      <c r="L56" s="125"/>
      <c r="M56" s="185"/>
      <c r="N56" s="185"/>
      <c r="O56" s="192"/>
      <c r="P56" s="113"/>
      <c r="Q56" s="113"/>
      <c r="R56" s="114"/>
      <c r="S56" s="114"/>
      <c r="T56" s="185"/>
      <c r="U56" s="201"/>
    </row>
    <row r="57" spans="1:22" ht="19.899999999999999" customHeight="1" x14ac:dyDescent="0.2">
      <c r="A57" s="177"/>
      <c r="B57" s="196"/>
      <c r="C57" s="109" t="s">
        <v>737</v>
      </c>
      <c r="D57" s="199"/>
      <c r="E57" s="59">
        <v>415</v>
      </c>
      <c r="F57" s="10" t="s">
        <v>83</v>
      </c>
      <c r="G57" s="11" t="s">
        <v>503</v>
      </c>
      <c r="H57" s="12" t="s">
        <v>398</v>
      </c>
      <c r="I57" s="126"/>
      <c r="J57" s="126"/>
      <c r="K57" s="126"/>
      <c r="L57" s="126"/>
      <c r="M57" s="186"/>
      <c r="N57" s="186"/>
      <c r="O57" s="193"/>
      <c r="P57" s="115"/>
      <c r="Q57" s="115"/>
      <c r="R57" s="116"/>
      <c r="S57" s="116"/>
      <c r="T57" s="186"/>
      <c r="U57" s="202"/>
      <c r="V57" s="13"/>
    </row>
    <row r="58" spans="1:22" ht="19.899999999999999" customHeight="1" thickBot="1" x14ac:dyDescent="0.25">
      <c r="A58" s="178"/>
      <c r="B58" s="197"/>
      <c r="C58" s="100"/>
      <c r="D58" s="200"/>
      <c r="E58" s="60"/>
      <c r="F58" s="14" t="s">
        <v>40</v>
      </c>
      <c r="G58" s="15" t="s">
        <v>289</v>
      </c>
      <c r="H58" s="16" t="s">
        <v>399</v>
      </c>
      <c r="I58" s="127"/>
      <c r="J58" s="127"/>
      <c r="K58" s="127"/>
      <c r="L58" s="127"/>
      <c r="M58" s="187"/>
      <c r="N58" s="187"/>
      <c r="O58" s="194"/>
      <c r="P58" s="117"/>
      <c r="Q58" s="117"/>
      <c r="R58" s="118"/>
      <c r="S58" s="118"/>
      <c r="T58" s="187"/>
      <c r="U58" s="203"/>
    </row>
    <row r="59" spans="1:22" ht="19.899999999999999" customHeight="1" thickTop="1" x14ac:dyDescent="0.2">
      <c r="A59" s="176" t="s">
        <v>626</v>
      </c>
      <c r="B59" s="195" t="s">
        <v>330</v>
      </c>
      <c r="C59" s="112"/>
      <c r="D59" s="198" t="s">
        <v>865</v>
      </c>
      <c r="E59" s="58"/>
      <c r="F59" s="8" t="s">
        <v>20</v>
      </c>
      <c r="G59" s="19" t="s">
        <v>39</v>
      </c>
      <c r="H59" s="22" t="s">
        <v>329</v>
      </c>
      <c r="I59" s="136"/>
      <c r="J59" s="125"/>
      <c r="K59" s="125"/>
      <c r="L59" s="125"/>
      <c r="M59" s="185"/>
      <c r="N59" s="185"/>
      <c r="O59" s="192"/>
      <c r="P59" s="113"/>
      <c r="Q59" s="113"/>
      <c r="R59" s="114"/>
      <c r="S59" s="114"/>
      <c r="T59" s="185"/>
      <c r="U59" s="201"/>
    </row>
    <row r="60" spans="1:22" ht="19.899999999999999" customHeight="1" x14ac:dyDescent="0.2">
      <c r="A60" s="177"/>
      <c r="B60" s="196"/>
      <c r="C60" s="109" t="s">
        <v>737</v>
      </c>
      <c r="D60" s="199"/>
      <c r="E60" s="59">
        <v>117</v>
      </c>
      <c r="F60" s="10" t="s">
        <v>83</v>
      </c>
      <c r="G60" s="11" t="s">
        <v>503</v>
      </c>
      <c r="H60" s="12" t="s">
        <v>331</v>
      </c>
      <c r="I60" s="126"/>
      <c r="J60" s="126"/>
      <c r="K60" s="126"/>
      <c r="L60" s="126"/>
      <c r="M60" s="186"/>
      <c r="N60" s="186"/>
      <c r="O60" s="193"/>
      <c r="P60" s="115"/>
      <c r="Q60" s="115"/>
      <c r="R60" s="116"/>
      <c r="S60" s="116"/>
      <c r="T60" s="186"/>
      <c r="U60" s="202"/>
      <c r="V60" s="13"/>
    </row>
    <row r="61" spans="1:22" ht="19.899999999999999" customHeight="1" thickBot="1" x14ac:dyDescent="0.25">
      <c r="A61" s="178"/>
      <c r="B61" s="197"/>
      <c r="C61" s="100"/>
      <c r="D61" s="200"/>
      <c r="E61" s="60"/>
      <c r="F61" s="14" t="s">
        <v>76</v>
      </c>
      <c r="G61" s="15" t="s">
        <v>77</v>
      </c>
      <c r="H61" s="16" t="s">
        <v>332</v>
      </c>
      <c r="I61" s="127"/>
      <c r="J61" s="127"/>
      <c r="K61" s="127"/>
      <c r="L61" s="127"/>
      <c r="M61" s="187"/>
      <c r="N61" s="187"/>
      <c r="O61" s="194"/>
      <c r="P61" s="117"/>
      <c r="Q61" s="117"/>
      <c r="R61" s="118"/>
      <c r="S61" s="118"/>
      <c r="T61" s="187"/>
      <c r="U61" s="203"/>
    </row>
    <row r="62" spans="1:22" ht="19.899999999999999" customHeight="1" thickTop="1" x14ac:dyDescent="0.2">
      <c r="A62" s="176" t="s">
        <v>542</v>
      </c>
      <c r="B62" s="188" t="s">
        <v>98</v>
      </c>
      <c r="C62" s="119"/>
      <c r="D62" s="103"/>
      <c r="E62" s="58"/>
      <c r="F62" s="8" t="s">
        <v>99</v>
      </c>
      <c r="G62" s="19" t="s">
        <v>100</v>
      </c>
      <c r="H62" s="22" t="s">
        <v>101</v>
      </c>
      <c r="I62" s="91">
        <v>4499.8900000000003</v>
      </c>
      <c r="J62" s="21">
        <v>34.85</v>
      </c>
      <c r="K62" s="21">
        <f>J62/E63</f>
        <v>8.7125000000000004</v>
      </c>
      <c r="L62" s="21">
        <f t="shared" ref="L62:L88" si="12">I62+K62</f>
        <v>4508.6025</v>
      </c>
      <c r="M62" s="170">
        <f>_xlfn.STDEV.S(L62:L64)</f>
        <v>1884.5713902774032</v>
      </c>
      <c r="N62" s="170">
        <f>(SUM(L62:L64))/((IF(L62=0,0,1))+(IF(L63=0,0,1))+(IF(L64=0,0,1)))</f>
        <v>5564.1941666666653</v>
      </c>
      <c r="O62" s="173">
        <f>M62/N62</f>
        <v>0.33869619460213607</v>
      </c>
      <c r="P62" s="37"/>
      <c r="Q62" s="37"/>
      <c r="R62" s="38" t="str">
        <f>IF(O62&lt;0.25,"PROPOSTA VÁLIDA",((IF(L62&gt;P63,"PROPOSTA FORA DOS LIMITES",IF(L62&lt;Q63,"PROPOSTA FORA DOS LIMITES","PROPOSTA VÁLIDA")))))</f>
        <v>PROPOSTA VÁLIDA</v>
      </c>
      <c r="S62" s="38">
        <f t="shared" ref="S62:S85" si="13">(IF(R62="PROPOSTA VÁLIDA",L62,0))</f>
        <v>4508.6025</v>
      </c>
      <c r="T62" s="164">
        <f>IF(O62&lt;0.25,AVERAGE(S62:S64),((IF(L62&gt;P63,0,IF(L62&lt;Q63,0,L62)))+(IF(L63&gt;P63,0,IF(L63&lt;Q63,0,L63)))+(IF(L64&gt;P63,0,IF(L64&lt;Q63,0,L64))))/(((IF(L62&gt;P63,0,IF(L62&lt;Q63,0,1))))+((IF(L63&gt;P63,0,IF(L63&lt;Q63,0,1))))+((IF(L64&gt;P63,0,IF(L64&lt;Q63,0,1))))))</f>
        <v>4476.2962499999994</v>
      </c>
      <c r="U62" s="167">
        <f>IFERROR(T62*E63,"")</f>
        <v>17905.184999999998</v>
      </c>
    </row>
    <row r="63" spans="1:22" ht="19.899999999999999" customHeight="1" x14ac:dyDescent="0.2">
      <c r="A63" s="177"/>
      <c r="B63" s="189"/>
      <c r="C63" s="120" t="s">
        <v>630</v>
      </c>
      <c r="D63" s="104" t="s">
        <v>737</v>
      </c>
      <c r="E63" s="59">
        <v>4</v>
      </c>
      <c r="F63" s="10" t="s">
        <v>25</v>
      </c>
      <c r="G63" s="11" t="s">
        <v>102</v>
      </c>
      <c r="H63" s="12" t="s">
        <v>103</v>
      </c>
      <c r="I63" s="92">
        <v>4443.99</v>
      </c>
      <c r="J63" s="20">
        <v>0</v>
      </c>
      <c r="K63" s="20">
        <f>J63/E63</f>
        <v>0</v>
      </c>
      <c r="L63" s="20">
        <f t="shared" si="12"/>
        <v>4443.99</v>
      </c>
      <c r="M63" s="171"/>
      <c r="N63" s="171"/>
      <c r="O63" s="174"/>
      <c r="P63" s="40">
        <f>IF(O62&gt;=0.25,N62+M62,"CV&lt;25%")</f>
        <v>7448.7655569440685</v>
      </c>
      <c r="Q63" s="40">
        <f>IF(O62&gt;=0.25,N62-M62,"CV&lt;25%")</f>
        <v>3679.6227763892621</v>
      </c>
      <c r="R63" s="41" t="str">
        <f>IF(O62&lt;0.25,"PROPOSTA VÁLIDA",((IF(L63&gt;P63,"PROPOSTA FORA DOS LIMITES",IF(L63&lt;Q63,"PROPOSTA FORA DOS LIMITES","PROPOSTA VÁLIDA")))))</f>
        <v>PROPOSTA VÁLIDA</v>
      </c>
      <c r="S63" s="41">
        <f t="shared" si="13"/>
        <v>4443.99</v>
      </c>
      <c r="T63" s="165"/>
      <c r="U63" s="168"/>
      <c r="V63" s="13"/>
    </row>
    <row r="64" spans="1:22" ht="19.899999999999999" customHeight="1" thickBot="1" x14ac:dyDescent="0.25">
      <c r="A64" s="178"/>
      <c r="B64" s="190"/>
      <c r="C64" s="121"/>
      <c r="D64" s="111"/>
      <c r="E64" s="60"/>
      <c r="F64" s="14" t="s">
        <v>40</v>
      </c>
      <c r="G64" s="15" t="s">
        <v>253</v>
      </c>
      <c r="H64" s="16" t="s">
        <v>252</v>
      </c>
      <c r="I64" s="93">
        <v>7739.99</v>
      </c>
      <c r="J64" s="43">
        <v>0</v>
      </c>
      <c r="K64" s="43">
        <f>J64/E63</f>
        <v>0</v>
      </c>
      <c r="L64" s="43">
        <f t="shared" si="12"/>
        <v>7739.99</v>
      </c>
      <c r="M64" s="172"/>
      <c r="N64" s="172"/>
      <c r="O64" s="175"/>
      <c r="P64" s="44"/>
      <c r="Q64" s="44"/>
      <c r="R64" s="45" t="str">
        <f>IF(O62&lt;0.25,"PROPOSTA VÁLIDA",((IF(L64&gt;P63,"PROPOSTA FORA DOS LIMITES",IF(L64&lt;Q63,"PROPOSTA FORA DOS LIMITES","PROPOSTA VÁLIDA")))))</f>
        <v>PROPOSTA FORA DOS LIMITES</v>
      </c>
      <c r="S64" s="45">
        <f t="shared" si="13"/>
        <v>0</v>
      </c>
      <c r="T64" s="166"/>
      <c r="U64" s="169"/>
    </row>
    <row r="65" spans="1:23" ht="19.899999999999999" customHeight="1" thickTop="1" x14ac:dyDescent="0.2">
      <c r="A65" s="176" t="s">
        <v>596</v>
      </c>
      <c r="B65" s="188" t="s">
        <v>104</v>
      </c>
      <c r="C65" s="119"/>
      <c r="D65" s="103"/>
      <c r="E65" s="58"/>
      <c r="F65" s="8" t="s">
        <v>76</v>
      </c>
      <c r="G65" s="19" t="s">
        <v>744</v>
      </c>
      <c r="H65" s="12" t="s">
        <v>745</v>
      </c>
      <c r="I65" s="91">
        <v>20.170000000000002</v>
      </c>
      <c r="J65" s="21">
        <f>49.99/5.2</f>
        <v>9.6134615384615394</v>
      </c>
      <c r="K65" s="21">
        <f>J65/E66</f>
        <v>9.1556776556776562E-2</v>
      </c>
      <c r="L65" s="21">
        <f t="shared" si="12"/>
        <v>20.261556776556777</v>
      </c>
      <c r="M65" s="170">
        <f>_xlfn.STDEV.S(L65:L67)</f>
        <v>24.97087137025769</v>
      </c>
      <c r="N65" s="170">
        <f>(SUM(L65:L67))/((IF(L65=0,0,1))+(IF(L66=0,0,1))+(IF(L67=0,0,1)))</f>
        <v>45.165264957264952</v>
      </c>
      <c r="O65" s="173">
        <f>M65/N65</f>
        <v>0.55287777883922407</v>
      </c>
      <c r="P65" s="37"/>
      <c r="Q65" s="37"/>
      <c r="R65" s="38" t="str">
        <f>IF(O65&lt;0.25,"PROPOSTA VÁLIDA",((IF(L65&gt;P66,"PROPOSTA FORA DOS LIMITES",IF(L65&lt;Q66,"PROPOSTA FORA DOS LIMITES","PROPOSTA VÁLIDA")))))</f>
        <v>PROPOSTA VÁLIDA</v>
      </c>
      <c r="S65" s="38">
        <f t="shared" si="13"/>
        <v>20.261556776556777</v>
      </c>
      <c r="T65" s="164">
        <f>IF(O65&lt;0.25,AVERAGE(S65:S67),((IF(L65&gt;P66,0,IF(L65&lt;Q66,0,L65)))+(IF(L66&gt;P66,0,IF(L66&lt;Q66,0,L66)))+(IF(L67&gt;P66,0,IF(L67&lt;Q66,0,L67))))/(((IF(L65&gt;P66,0,IF(L65&lt;Q66,0,1))))+((IF(L66&gt;P66,0,IF(L66&lt;Q66,0,1))))+((IF(L67&gt;P66,0,IF(L67&lt;Q66,0,1))))))</f>
        <v>32.646516483516486</v>
      </c>
      <c r="U65" s="167">
        <f>IFERROR(T65*E66,"")</f>
        <v>3427.8842307692312</v>
      </c>
    </row>
    <row r="66" spans="1:23" ht="19.899999999999999" customHeight="1" x14ac:dyDescent="0.2">
      <c r="A66" s="177"/>
      <c r="B66" s="189"/>
      <c r="C66" s="120" t="s">
        <v>536</v>
      </c>
      <c r="D66" s="104" t="s">
        <v>737</v>
      </c>
      <c r="E66" s="59">
        <v>105</v>
      </c>
      <c r="F66" s="10" t="s">
        <v>105</v>
      </c>
      <c r="G66" s="11" t="s">
        <v>106</v>
      </c>
      <c r="H66" s="12" t="s">
        <v>107</v>
      </c>
      <c r="I66" s="92">
        <v>69.989999999999995</v>
      </c>
      <c r="J66" s="20">
        <v>22.34</v>
      </c>
      <c r="K66" s="20">
        <f>J66/E66</f>
        <v>0.21276190476190476</v>
      </c>
      <c r="L66" s="20">
        <f t="shared" si="12"/>
        <v>70.2027619047619</v>
      </c>
      <c r="M66" s="171"/>
      <c r="N66" s="171"/>
      <c r="O66" s="174"/>
      <c r="P66" s="40">
        <f>IF(O65&gt;=0.25,N65+M65,"CV&lt;25%")</f>
        <v>70.136136327522649</v>
      </c>
      <c r="Q66" s="40">
        <f>IF(O65&gt;=0.25,N65-M65,"CV&lt;25%")</f>
        <v>20.194393587007262</v>
      </c>
      <c r="R66" s="41" t="str">
        <f>IF(O65&lt;0.25,"PROPOSTA VÁLIDA",((IF(L66&gt;P66,"PROPOSTA FORA DOS LIMITES",IF(L66&lt;Q66,"PROPOSTA FORA DOS LIMITES","PROPOSTA VÁLIDA")))))</f>
        <v>PROPOSTA FORA DOS LIMITES</v>
      </c>
      <c r="S66" s="41">
        <f t="shared" si="13"/>
        <v>0</v>
      </c>
      <c r="T66" s="165"/>
      <c r="U66" s="168"/>
      <c r="V66" s="13"/>
    </row>
    <row r="67" spans="1:23" ht="19.899999999999999" customHeight="1" thickBot="1" x14ac:dyDescent="0.25">
      <c r="A67" s="178"/>
      <c r="B67" s="190"/>
      <c r="C67" s="121"/>
      <c r="D67" s="111"/>
      <c r="E67" s="60"/>
      <c r="F67" s="14" t="s">
        <v>108</v>
      </c>
      <c r="G67" s="15" t="s">
        <v>109</v>
      </c>
      <c r="H67" s="16" t="s">
        <v>110</v>
      </c>
      <c r="I67" s="93">
        <f>89.9/2</f>
        <v>44.95</v>
      </c>
      <c r="J67" s="43">
        <f>17.11/2</f>
        <v>8.5549999999999997</v>
      </c>
      <c r="K67" s="43">
        <f>J67/E66</f>
        <v>8.147619047619048E-2</v>
      </c>
      <c r="L67" s="43">
        <f t="shared" si="12"/>
        <v>45.031476190476191</v>
      </c>
      <c r="M67" s="172"/>
      <c r="N67" s="172"/>
      <c r="O67" s="175"/>
      <c r="P67" s="44"/>
      <c r="Q67" s="44"/>
      <c r="R67" s="45" t="str">
        <f>IF(O65&lt;0.25,"PROPOSTA VÁLIDA",((IF(L67&gt;P66,"PROPOSTA FORA DOS LIMITES",IF(L67&lt;Q66,"PROPOSTA FORA DOS LIMITES","PROPOSTA VÁLIDA")))))</f>
        <v>PROPOSTA VÁLIDA</v>
      </c>
      <c r="S67" s="45">
        <f t="shared" si="13"/>
        <v>45.031476190476191</v>
      </c>
      <c r="T67" s="166"/>
      <c r="U67" s="169"/>
    </row>
    <row r="68" spans="1:23" ht="19.899999999999999" customHeight="1" thickTop="1" x14ac:dyDescent="0.2">
      <c r="A68" s="176" t="s">
        <v>543</v>
      </c>
      <c r="B68" s="182" t="s">
        <v>605</v>
      </c>
      <c r="C68" s="119"/>
      <c r="D68" s="103"/>
      <c r="E68" s="58"/>
      <c r="F68" s="8" t="s">
        <v>643</v>
      </c>
      <c r="G68" s="19" t="s">
        <v>644</v>
      </c>
      <c r="H68" s="12" t="s">
        <v>810</v>
      </c>
      <c r="I68" s="91">
        <v>522.96</v>
      </c>
      <c r="J68" s="21">
        <v>0</v>
      </c>
      <c r="K68" s="21">
        <f>J68/E69</f>
        <v>0</v>
      </c>
      <c r="L68" s="21">
        <f t="shared" si="12"/>
        <v>522.96</v>
      </c>
      <c r="M68" s="170">
        <f>_xlfn.STDEV.S(L68:L70)</f>
        <v>801.00753054228733</v>
      </c>
      <c r="N68" s="170">
        <f>(SUM(L68:L70))/((IF(L68=0,0,1))+(IF(L69=0,0,1))+(IF(L70=0,0,1)))</f>
        <v>1111.8331333333333</v>
      </c>
      <c r="O68" s="173">
        <f>M68/N68</f>
        <v>0.72043862206266984</v>
      </c>
      <c r="P68" s="37"/>
      <c r="Q68" s="37"/>
      <c r="R68" s="38" t="str">
        <f>IF(O68&lt;0.25,"PROPOSTA VÁLIDA",((IF(L68&gt;P69,"PROPOSTA FORA DOS LIMITES",IF(L68&lt;Q69,"PROPOSTA FORA DOS LIMITES","PROPOSTA VÁLIDA")))))</f>
        <v>PROPOSTA VÁLIDA</v>
      </c>
      <c r="S68" s="38">
        <f t="shared" si="13"/>
        <v>522.96</v>
      </c>
      <c r="T68" s="164">
        <f>IF(O68&lt;0.25,AVERAGE(S68:S70),((IF(L68&gt;P69,0,IF(L68&lt;Q69,0,L68)))+(IF(L69&gt;P69,0,IF(L69&lt;Q69,0,L69)))+(IF(L70&gt;P69,0,IF(L70&lt;Q69,0,L70))))/(((IF(L68&gt;P69,0,IF(L68&lt;Q69,0,1))))+((IF(L69&gt;P69,0,IF(L69&lt;Q69,0,1))))+((IF(L70&gt;P69,0,IF(L70&lt;Q69,0,1))))))</f>
        <v>655.77250000000004</v>
      </c>
      <c r="U68" s="167">
        <f>IFERROR(T68*E69,"")</f>
        <v>1311.5450000000001</v>
      </c>
      <c r="W68" s="225"/>
    </row>
    <row r="69" spans="1:23" ht="19.899999999999999" customHeight="1" x14ac:dyDescent="0.2">
      <c r="A69" s="177"/>
      <c r="B69" s="183"/>
      <c r="C69" s="120" t="s">
        <v>537</v>
      </c>
      <c r="D69" s="104" t="s">
        <v>737</v>
      </c>
      <c r="E69" s="59">
        <v>2</v>
      </c>
      <c r="F69" s="10" t="s">
        <v>645</v>
      </c>
      <c r="G69" s="11" t="s">
        <v>648</v>
      </c>
      <c r="H69" s="12" t="s">
        <v>852</v>
      </c>
      <c r="I69" s="92">
        <v>1946.11</v>
      </c>
      <c r="J69" s="20">
        <f>I69*0.08</f>
        <v>155.68879999999999</v>
      </c>
      <c r="K69" s="20">
        <f>J69/E69</f>
        <v>77.844399999999993</v>
      </c>
      <c r="L69" s="20">
        <f t="shared" si="12"/>
        <v>2023.9543999999999</v>
      </c>
      <c r="M69" s="171"/>
      <c r="N69" s="171"/>
      <c r="O69" s="174"/>
      <c r="P69" s="40">
        <f>IF(O68&gt;=0.25,N68+M68,"CV&lt;25%")</f>
        <v>1912.8406638756205</v>
      </c>
      <c r="Q69" s="40">
        <f>IF(O68&gt;=0.25,N68-M68,"CV&lt;25%")</f>
        <v>310.82560279104598</v>
      </c>
      <c r="R69" s="41" t="str">
        <f>IF(O68&lt;0.25,"PROPOSTA VÁLIDA",((IF(L69&gt;P69,"PROPOSTA FORA DOS LIMITES",IF(L69&lt;Q69,"PROPOSTA FORA DOS LIMITES","PROPOSTA VÁLIDA")))))</f>
        <v>PROPOSTA FORA DOS LIMITES</v>
      </c>
      <c r="S69" s="41">
        <f t="shared" si="13"/>
        <v>0</v>
      </c>
      <c r="T69" s="165"/>
      <c r="U69" s="168"/>
      <c r="V69" s="13"/>
      <c r="W69" s="225"/>
    </row>
    <row r="70" spans="1:23" ht="19.899999999999999" customHeight="1" thickBot="1" x14ac:dyDescent="0.25">
      <c r="A70" s="178"/>
      <c r="B70" s="184"/>
      <c r="C70" s="121"/>
      <c r="D70" s="111"/>
      <c r="E70" s="60"/>
      <c r="F70" s="14" t="s">
        <v>646</v>
      </c>
      <c r="G70" s="15" t="s">
        <v>647</v>
      </c>
      <c r="H70" s="16" t="s">
        <v>809</v>
      </c>
      <c r="I70" s="93">
        <f>1577.17/2</f>
        <v>788.58500000000004</v>
      </c>
      <c r="J70" s="43"/>
      <c r="K70" s="43">
        <f>J70/E69</f>
        <v>0</v>
      </c>
      <c r="L70" s="43">
        <f t="shared" si="12"/>
        <v>788.58500000000004</v>
      </c>
      <c r="M70" s="172"/>
      <c r="N70" s="172"/>
      <c r="O70" s="175"/>
      <c r="P70" s="44"/>
      <c r="Q70" s="44"/>
      <c r="R70" s="45" t="str">
        <f>IF(O68&lt;0.25,"PROPOSTA VÁLIDA",((IF(L70&gt;P69,"PROPOSTA FORA DOS LIMITES",IF(L70&lt;Q69,"PROPOSTA FORA DOS LIMITES","PROPOSTA VÁLIDA")))))</f>
        <v>PROPOSTA VÁLIDA</v>
      </c>
      <c r="S70" s="45">
        <f t="shared" si="13"/>
        <v>788.58500000000004</v>
      </c>
      <c r="T70" s="166"/>
      <c r="U70" s="169"/>
      <c r="W70" s="225"/>
    </row>
    <row r="71" spans="1:23" ht="19.899999999999999" customHeight="1" thickTop="1" x14ac:dyDescent="0.2">
      <c r="A71" s="176" t="s">
        <v>600</v>
      </c>
      <c r="B71" s="182" t="s">
        <v>606</v>
      </c>
      <c r="C71" s="119"/>
      <c r="D71" s="103"/>
      <c r="E71" s="58"/>
      <c r="F71" s="8" t="s">
        <v>643</v>
      </c>
      <c r="G71" s="19" t="s">
        <v>644</v>
      </c>
      <c r="H71" s="12" t="s">
        <v>810</v>
      </c>
      <c r="I71" s="91">
        <v>468.55</v>
      </c>
      <c r="J71" s="21">
        <v>0</v>
      </c>
      <c r="K71" s="21">
        <f>J71/E72</f>
        <v>0</v>
      </c>
      <c r="L71" s="21">
        <f t="shared" si="12"/>
        <v>468.55</v>
      </c>
      <c r="M71" s="170">
        <f>_xlfn.STDEV.S(L71:L73)</f>
        <v>194.57388894282087</v>
      </c>
      <c r="N71" s="170">
        <f>(SUM(L71:L73))/((IF(L71=0,0,1))+(IF(L72=0,0,1))+(IF(L73=0,0,1)))</f>
        <v>683.66166666666675</v>
      </c>
      <c r="O71" s="173">
        <f>M71/N71</f>
        <v>0.28460552701675662</v>
      </c>
      <c r="P71" s="37"/>
      <c r="Q71" s="37"/>
      <c r="R71" s="38" t="str">
        <f>IF(O71&lt;0.25,"PROPOSTA VÁLIDA",((IF(L71&gt;P72,"PROPOSTA FORA DOS LIMITES",IF(L71&lt;Q72,"PROPOSTA FORA DOS LIMITES","PROPOSTA VÁLIDA")))))</f>
        <v>PROPOSTA FORA DOS LIMITES</v>
      </c>
      <c r="S71" s="38">
        <f t="shared" si="13"/>
        <v>0</v>
      </c>
      <c r="T71" s="164">
        <f>IF(O71&lt;0.25,AVERAGE(S71:S73),((IF(L71&gt;P72,0,IF(L71&lt;Q72,0,L71)))+(IF(L72&gt;P72,0,IF(L72&lt;Q72,0,L72)))+(IF(L73&gt;P72,0,IF(L73&lt;Q72,0,L73))))/(((IF(L71&gt;P72,0,IF(L71&lt;Q72,0,1))))+((IF(L72&gt;P72,0,IF(L72&lt;Q72,0,1))))+((IF(L73&gt;P72,0,IF(L73&lt;Q72,0,1))))))</f>
        <v>791.21749999999997</v>
      </c>
      <c r="U71" s="167">
        <f>IFERROR(T71*E72,"")</f>
        <v>9494.61</v>
      </c>
      <c r="W71" s="225"/>
    </row>
    <row r="72" spans="1:23" ht="19.899999999999999" customHeight="1" x14ac:dyDescent="0.2">
      <c r="A72" s="177"/>
      <c r="B72" s="183"/>
      <c r="C72" s="120" t="s">
        <v>742</v>
      </c>
      <c r="D72" s="104" t="s">
        <v>737</v>
      </c>
      <c r="E72" s="59">
        <v>12</v>
      </c>
      <c r="F72" s="10" t="s">
        <v>645</v>
      </c>
      <c r="G72" s="11" t="s">
        <v>648</v>
      </c>
      <c r="H72" s="12" t="s">
        <v>852</v>
      </c>
      <c r="I72" s="92">
        <v>847.38</v>
      </c>
      <c r="J72" s="20"/>
      <c r="K72" s="20">
        <f>J72/E72</f>
        <v>0</v>
      </c>
      <c r="L72" s="20">
        <f t="shared" si="12"/>
        <v>847.38</v>
      </c>
      <c r="M72" s="171"/>
      <c r="N72" s="171"/>
      <c r="O72" s="174"/>
      <c r="P72" s="40">
        <f>IF(O71&gt;=0.25,N71+M71,"CV&lt;25%")</f>
        <v>878.23555560948762</v>
      </c>
      <c r="Q72" s="40">
        <f>IF(O71&gt;=0.25,N71-M71,"CV&lt;25%")</f>
        <v>489.08777772384587</v>
      </c>
      <c r="R72" s="41" t="str">
        <f>IF(O71&lt;0.25,"PROPOSTA VÁLIDA",((IF(L72&gt;P72,"PROPOSTA FORA DOS LIMITES",IF(L72&lt;Q72,"PROPOSTA FORA DOS LIMITES","PROPOSTA VÁLIDA")))))</f>
        <v>PROPOSTA VÁLIDA</v>
      </c>
      <c r="S72" s="41">
        <f t="shared" si="13"/>
        <v>847.38</v>
      </c>
      <c r="T72" s="165"/>
      <c r="U72" s="168"/>
      <c r="V72" s="13"/>
      <c r="W72" s="225"/>
    </row>
    <row r="73" spans="1:23" ht="19.899999999999999" customHeight="1" thickBot="1" x14ac:dyDescent="0.25">
      <c r="A73" s="178"/>
      <c r="B73" s="184"/>
      <c r="C73" s="121"/>
      <c r="D73" s="111"/>
      <c r="E73" s="60"/>
      <c r="F73" s="14" t="s">
        <v>646</v>
      </c>
      <c r="G73" s="15" t="s">
        <v>647</v>
      </c>
      <c r="H73" s="16" t="s">
        <v>809</v>
      </c>
      <c r="I73" s="93">
        <f>1470.11/2</f>
        <v>735.05499999999995</v>
      </c>
      <c r="J73" s="43">
        <v>0</v>
      </c>
      <c r="K73" s="43">
        <f>J73/E72</f>
        <v>0</v>
      </c>
      <c r="L73" s="43">
        <f t="shared" si="12"/>
        <v>735.05499999999995</v>
      </c>
      <c r="M73" s="172"/>
      <c r="N73" s="172"/>
      <c r="O73" s="175"/>
      <c r="P73" s="44"/>
      <c r="Q73" s="44"/>
      <c r="R73" s="45" t="str">
        <f>IF(O71&lt;0.25,"PROPOSTA VÁLIDA",((IF(L73&gt;P72,"PROPOSTA FORA DOS LIMITES",IF(L73&lt;Q72,"PROPOSTA FORA DOS LIMITES","PROPOSTA VÁLIDA")))))</f>
        <v>PROPOSTA VÁLIDA</v>
      </c>
      <c r="S73" s="45">
        <f t="shared" si="13"/>
        <v>735.05499999999995</v>
      </c>
      <c r="T73" s="166"/>
      <c r="U73" s="169"/>
      <c r="W73" s="225"/>
    </row>
    <row r="74" spans="1:23" ht="19.899999999999999" customHeight="1" thickTop="1" x14ac:dyDescent="0.2">
      <c r="A74" s="176" t="s">
        <v>597</v>
      </c>
      <c r="B74" s="182" t="s">
        <v>113</v>
      </c>
      <c r="C74" s="119"/>
      <c r="D74" s="103"/>
      <c r="E74" s="58"/>
      <c r="F74" s="8" t="s">
        <v>643</v>
      </c>
      <c r="G74" s="19" t="s">
        <v>644</v>
      </c>
      <c r="H74" s="12" t="s">
        <v>810</v>
      </c>
      <c r="I74" s="91">
        <v>387.97</v>
      </c>
      <c r="J74" s="21">
        <v>0</v>
      </c>
      <c r="K74" s="21">
        <f>J74/E75</f>
        <v>0</v>
      </c>
      <c r="L74" s="21">
        <f t="shared" si="12"/>
        <v>387.97</v>
      </c>
      <c r="M74" s="170">
        <f>_xlfn.STDEV.S(L74:L76)</f>
        <v>472.39957995888739</v>
      </c>
      <c r="N74" s="170">
        <f>(SUM(L74:L76))/((IF(L74=0,0,1))+(IF(L75=0,0,1))+(IF(L76=0,0,1)))</f>
        <v>783.02866666666671</v>
      </c>
      <c r="O74" s="173">
        <f>M74/N74</f>
        <v>0.6032979379540222</v>
      </c>
      <c r="P74" s="37"/>
      <c r="Q74" s="37"/>
      <c r="R74" s="38" t="str">
        <f>IF(O74&lt;0.25,"PROPOSTA VÁLIDA",((IF(L74&gt;P75,"PROPOSTA FORA DOS LIMITES",IF(L74&lt;Q75,"PROPOSTA FORA DOS LIMITES","PROPOSTA VÁLIDA")))))</f>
        <v>PROPOSTA VÁLIDA</v>
      </c>
      <c r="S74" s="38">
        <f t="shared" si="13"/>
        <v>387.97</v>
      </c>
      <c r="T74" s="164">
        <f>IF(O74&lt;0.25,AVERAGE(S74:S76),((IF(L74&gt;P75,0,IF(L74&lt;Q75,0,L74)))+(IF(L75&gt;P75,0,IF(L75&lt;Q75,0,L75)))+(IF(L76&gt;P75,0,IF(L76&lt;Q75,0,L76))))/(((IF(L74&gt;P75,0,IF(L74&lt;Q75,0,1))))+((IF(L75&gt;P75,0,IF(L75&lt;Q75,0,1))))+((IF(L76&gt;P75,0,IF(L76&lt;Q75,0,1))))))</f>
        <v>521.39300000000003</v>
      </c>
      <c r="U74" s="167">
        <f>IFERROR(T74*E75,"")</f>
        <v>3128.3580000000002</v>
      </c>
    </row>
    <row r="75" spans="1:23" ht="19.899999999999999" customHeight="1" x14ac:dyDescent="0.2">
      <c r="A75" s="177"/>
      <c r="B75" s="183"/>
      <c r="C75" s="120" t="s">
        <v>888</v>
      </c>
      <c r="D75" s="104" t="s">
        <v>737</v>
      </c>
      <c r="E75" s="59">
        <v>6</v>
      </c>
      <c r="F75" s="10" t="s">
        <v>645</v>
      </c>
      <c r="G75" s="11" t="s">
        <v>648</v>
      </c>
      <c r="H75" s="12" t="s">
        <v>852</v>
      </c>
      <c r="I75" s="92">
        <v>646.20000000000005</v>
      </c>
      <c r="J75" s="20">
        <f>I75*0.08</f>
        <v>51.696000000000005</v>
      </c>
      <c r="K75" s="20">
        <f>J75/E75</f>
        <v>8.6160000000000014</v>
      </c>
      <c r="L75" s="20">
        <f t="shared" si="12"/>
        <v>654.81600000000003</v>
      </c>
      <c r="M75" s="171"/>
      <c r="N75" s="171"/>
      <c r="O75" s="174"/>
      <c r="P75" s="40">
        <f>IF(O74&gt;=0.25,N74+M74,"CV&lt;25%")</f>
        <v>1255.428246625554</v>
      </c>
      <c r="Q75" s="40">
        <f>IF(O74&gt;=0.25,N74-M74,"CV&lt;25%")</f>
        <v>310.62908670777932</v>
      </c>
      <c r="R75" s="41" t="str">
        <f>IF(O74&lt;0.25,"PROPOSTA VÁLIDA",((IF(L75&gt;P75,"PROPOSTA FORA DOS LIMITES",IF(L75&lt;Q75,"PROPOSTA FORA DOS LIMITES","PROPOSTA VÁLIDA")))))</f>
        <v>PROPOSTA VÁLIDA</v>
      </c>
      <c r="S75" s="41">
        <f t="shared" si="13"/>
        <v>654.81600000000003</v>
      </c>
      <c r="T75" s="165"/>
      <c r="U75" s="168"/>
      <c r="V75" s="13"/>
    </row>
    <row r="76" spans="1:23" ht="19.899999999999999" customHeight="1" thickBot="1" x14ac:dyDescent="0.25">
      <c r="A76" s="178"/>
      <c r="B76" s="184"/>
      <c r="C76" s="121"/>
      <c r="D76" s="111"/>
      <c r="E76" s="60"/>
      <c r="F76" s="14" t="s">
        <v>646</v>
      </c>
      <c r="G76" s="15" t="s">
        <v>647</v>
      </c>
      <c r="H76" s="16" t="s">
        <v>809</v>
      </c>
      <c r="I76" s="93">
        <v>1306.3</v>
      </c>
      <c r="J76" s="43">
        <v>0</v>
      </c>
      <c r="K76" s="43">
        <f>J76/E75</f>
        <v>0</v>
      </c>
      <c r="L76" s="43">
        <f t="shared" si="12"/>
        <v>1306.3</v>
      </c>
      <c r="M76" s="172"/>
      <c r="N76" s="172"/>
      <c r="O76" s="175"/>
      <c r="P76" s="44"/>
      <c r="Q76" s="44"/>
      <c r="R76" s="45" t="str">
        <f>IF(O74&lt;0.25,"PROPOSTA VÁLIDA",((IF(L76&gt;P75,"PROPOSTA FORA DOS LIMITES",IF(L76&lt;Q75,"PROPOSTA FORA DOS LIMITES","PROPOSTA VÁLIDA")))))</f>
        <v>PROPOSTA FORA DOS LIMITES</v>
      </c>
      <c r="S76" s="45">
        <f t="shared" si="13"/>
        <v>0</v>
      </c>
      <c r="T76" s="166"/>
      <c r="U76" s="169"/>
    </row>
    <row r="77" spans="1:23" ht="19.899999999999999" customHeight="1" thickTop="1" x14ac:dyDescent="0.2">
      <c r="A77" s="176" t="s">
        <v>598</v>
      </c>
      <c r="B77" s="182" t="s">
        <v>607</v>
      </c>
      <c r="C77" s="119"/>
      <c r="D77" s="103"/>
      <c r="E77" s="58"/>
      <c r="F77" s="8" t="s">
        <v>643</v>
      </c>
      <c r="G77" s="19" t="s">
        <v>644</v>
      </c>
      <c r="H77" s="12" t="s">
        <v>810</v>
      </c>
      <c r="I77" s="91">
        <v>756.9</v>
      </c>
      <c r="J77" s="21">
        <v>0</v>
      </c>
      <c r="K77" s="21">
        <f>J77/E78</f>
        <v>0</v>
      </c>
      <c r="L77" s="21">
        <f t="shared" si="12"/>
        <v>756.9</v>
      </c>
      <c r="M77" s="170">
        <f>_xlfn.STDEV.S(L77:L79)</f>
        <v>249.98133929947858</v>
      </c>
      <c r="N77" s="170">
        <f>(SUM(L77:L79))/((IF(L77=0,0,1))+(IF(L78=0,0,1))+(IF(L79=0,0,1)))</f>
        <v>1016.1540444444445</v>
      </c>
      <c r="O77" s="173">
        <f>M77/N77</f>
        <v>0.24600732602127201</v>
      </c>
      <c r="P77" s="37"/>
      <c r="Q77" s="37"/>
      <c r="R77" s="38" t="str">
        <f>IF(O77&lt;0.25,"PROPOSTA VÁLIDA",((IF(L77&gt;P78,"PROPOSTA FORA DOS LIMITES",IF(L77&lt;Q78,"PROPOSTA FORA DOS LIMITES","PROPOSTA VÁLIDA")))))</f>
        <v>PROPOSTA VÁLIDA</v>
      </c>
      <c r="S77" s="38">
        <f t="shared" si="13"/>
        <v>756.9</v>
      </c>
      <c r="T77" s="164">
        <f>IF(O77&lt;0.25,AVERAGE(S77:S79),((IF(L77&gt;P78,0,IF(L77&lt;Q78,0,L77)))+(IF(L78&gt;P78,0,IF(L78&lt;Q78,0,L78)))+(IF(L79&gt;P78,0,IF(L79&lt;Q78,0,L79))))/(((IF(L77&gt;P78,0,IF(L77&lt;Q78,0,1))))+((IF(L78&gt;P78,0,IF(L78&lt;Q78,0,1))))+((IF(L79&gt;P78,0,IF(L79&lt;Q78,0,1))))))</f>
        <v>1016.1540444444445</v>
      </c>
      <c r="U77" s="167">
        <f>IFERROR(T77*E78,"")</f>
        <v>3048.4621333333334</v>
      </c>
      <c r="W77" s="225"/>
    </row>
    <row r="78" spans="1:23" ht="19.899999999999999" customHeight="1" x14ac:dyDescent="0.2">
      <c r="A78" s="177"/>
      <c r="B78" s="183"/>
      <c r="C78" s="120" t="s">
        <v>622</v>
      </c>
      <c r="D78" s="104" t="s">
        <v>737</v>
      </c>
      <c r="E78" s="59">
        <v>3</v>
      </c>
      <c r="F78" s="10" t="s">
        <v>645</v>
      </c>
      <c r="G78" s="11" t="s">
        <v>648</v>
      </c>
      <c r="H78" s="12" t="s">
        <v>852</v>
      </c>
      <c r="I78" s="92">
        <v>1223.08</v>
      </c>
      <c r="J78" s="20">
        <f>I78*0.08</f>
        <v>97.846400000000003</v>
      </c>
      <c r="K78" s="20">
        <f>J78/E78</f>
        <v>32.61546666666667</v>
      </c>
      <c r="L78" s="20">
        <f t="shared" si="12"/>
        <v>1255.6954666666666</v>
      </c>
      <c r="M78" s="171"/>
      <c r="N78" s="171"/>
      <c r="O78" s="174"/>
      <c r="P78" s="40" t="str">
        <f>IF(O77&gt;=0.25,N77+M77,"CV&lt;25%")</f>
        <v>CV&lt;25%</v>
      </c>
      <c r="Q78" s="40" t="str">
        <f>IF(O77&gt;=0.25,N77-M77,"CV&lt;25%")</f>
        <v>CV&lt;25%</v>
      </c>
      <c r="R78" s="41" t="str">
        <f>IF(O77&lt;0.25,"PROPOSTA VÁLIDA",((IF(L78&gt;P78,"PROPOSTA FORA DOS LIMITES",IF(L78&lt;Q78,"PROPOSTA FORA DOS LIMITES","PROPOSTA VÁLIDA")))))</f>
        <v>PROPOSTA VÁLIDA</v>
      </c>
      <c r="S78" s="41">
        <f t="shared" si="13"/>
        <v>1255.6954666666666</v>
      </c>
      <c r="T78" s="165"/>
      <c r="U78" s="168"/>
      <c r="V78" s="13"/>
      <c r="W78" s="225"/>
    </row>
    <row r="79" spans="1:23" ht="19.899999999999999" customHeight="1" thickBot="1" x14ac:dyDescent="0.25">
      <c r="A79" s="178"/>
      <c r="B79" s="184"/>
      <c r="C79" s="121"/>
      <c r="D79" s="111"/>
      <c r="E79" s="60"/>
      <c r="F79" s="14" t="s">
        <v>646</v>
      </c>
      <c r="G79" s="15" t="s">
        <v>647</v>
      </c>
      <c r="H79" s="16" t="s">
        <v>809</v>
      </c>
      <c r="I79" s="93">
        <f>3107.6/3</f>
        <v>1035.8666666666666</v>
      </c>
      <c r="J79" s="43">
        <v>0</v>
      </c>
      <c r="K79" s="43">
        <f>J79/E78</f>
        <v>0</v>
      </c>
      <c r="L79" s="43">
        <f t="shared" si="12"/>
        <v>1035.8666666666666</v>
      </c>
      <c r="M79" s="172"/>
      <c r="N79" s="172"/>
      <c r="O79" s="175"/>
      <c r="P79" s="44"/>
      <c r="Q79" s="44"/>
      <c r="R79" s="45" t="str">
        <f>IF(O77&lt;0.25,"PROPOSTA VÁLIDA",((IF(L79&gt;P78,"PROPOSTA FORA DOS LIMITES",IF(L79&lt;Q78,"PROPOSTA FORA DOS LIMITES","PROPOSTA VÁLIDA")))))</f>
        <v>PROPOSTA VÁLIDA</v>
      </c>
      <c r="S79" s="45">
        <f t="shared" si="13"/>
        <v>1035.8666666666666</v>
      </c>
      <c r="T79" s="166"/>
      <c r="U79" s="169"/>
      <c r="W79" s="225"/>
    </row>
    <row r="80" spans="1:23" ht="19.899999999999999" customHeight="1" thickTop="1" x14ac:dyDescent="0.2">
      <c r="A80" s="176" t="s">
        <v>544</v>
      </c>
      <c r="B80" s="182" t="s">
        <v>608</v>
      </c>
      <c r="C80" s="119"/>
      <c r="D80" s="103"/>
      <c r="E80" s="58"/>
      <c r="F80" s="8" t="s">
        <v>643</v>
      </c>
      <c r="G80" s="19" t="s">
        <v>644</v>
      </c>
      <c r="H80" s="12" t="s">
        <v>810</v>
      </c>
      <c r="I80" s="91">
        <v>325.12</v>
      </c>
      <c r="J80" s="21">
        <v>0</v>
      </c>
      <c r="K80" s="21">
        <f>J80/E81</f>
        <v>0</v>
      </c>
      <c r="L80" s="21">
        <f t="shared" si="12"/>
        <v>325.12</v>
      </c>
      <c r="M80" s="170">
        <f>_xlfn.STDEV.S(L80:L82)</f>
        <v>62.172229431951948</v>
      </c>
      <c r="N80" s="170">
        <f>(SUM(L80:L82))/((IF(L80=0,0,1))+(IF(L81=0,0,1))+(IF(L82=0,0,1)))</f>
        <v>346.30684444444438</v>
      </c>
      <c r="O80" s="173">
        <f>M80/N80</f>
        <v>0.17952931173419476</v>
      </c>
      <c r="P80" s="37"/>
      <c r="Q80" s="37"/>
      <c r="R80" s="38" t="str">
        <f>IF(O80&lt;0.25,"PROPOSTA VÁLIDA",((IF(L80&gt;P81,"PROPOSTA FORA DOS LIMITES",IF(L80&lt;Q81,"PROPOSTA FORA DOS LIMITES","PROPOSTA VÁLIDA")))))</f>
        <v>PROPOSTA VÁLIDA</v>
      </c>
      <c r="S80" s="38">
        <f t="shared" si="13"/>
        <v>325.12</v>
      </c>
      <c r="T80" s="164">
        <f>IF(O80&lt;0.25,AVERAGE(S80:S82),((IF(L80&gt;P81,0,IF(L80&lt;Q81,0,L80)))+(IF(L81&gt;P81,0,IF(L81&lt;Q81,0,L81)))+(IF(L82&gt;P81,0,IF(L82&lt;Q81,0,L82))))/(((IF(L80&gt;P81,0,IF(L80&lt;Q81,0,1))))+((IF(L81&gt;P81,0,IF(L81&lt;Q81,0,1))))+((IF(L82&gt;P81,0,IF(L82&lt;Q81,0,1))))))</f>
        <v>346.30684444444438</v>
      </c>
      <c r="U80" s="167">
        <f>IFERROR(T80*E81,"")</f>
        <v>1038.9205333333332</v>
      </c>
      <c r="W80" s="225"/>
    </row>
    <row r="81" spans="1:23" ht="19.899999999999999" customHeight="1" x14ac:dyDescent="0.2">
      <c r="A81" s="177"/>
      <c r="B81" s="183"/>
      <c r="C81" s="120" t="s">
        <v>529</v>
      </c>
      <c r="D81" s="104" t="s">
        <v>737</v>
      </c>
      <c r="E81" s="59">
        <v>3</v>
      </c>
      <c r="F81" s="10" t="s">
        <v>645</v>
      </c>
      <c r="G81" s="11" t="s">
        <v>648</v>
      </c>
      <c r="H81" s="12" t="s">
        <v>852</v>
      </c>
      <c r="I81" s="92">
        <v>289.77</v>
      </c>
      <c r="J81" s="20">
        <f>I81*0.08</f>
        <v>23.1816</v>
      </c>
      <c r="K81" s="20">
        <f>J81/E81</f>
        <v>7.7271999999999998</v>
      </c>
      <c r="L81" s="20">
        <f t="shared" si="12"/>
        <v>297.49719999999996</v>
      </c>
      <c r="M81" s="171"/>
      <c r="N81" s="171"/>
      <c r="O81" s="174"/>
      <c r="P81" s="40" t="str">
        <f>IF(O80&gt;=0.25,N80+M80,"CV&lt;25%")</f>
        <v>CV&lt;25%</v>
      </c>
      <c r="Q81" s="40" t="str">
        <f>IF(O80&gt;=0.25,N80-M80,"CV&lt;25%")</f>
        <v>CV&lt;25%</v>
      </c>
      <c r="R81" s="41" t="str">
        <f>IF(O80&lt;0.25,"PROPOSTA VÁLIDA",((IF(L81&gt;P81,"PROPOSTA FORA DOS LIMITES",IF(L81&lt;Q81,"PROPOSTA FORA DOS LIMITES","PROPOSTA VÁLIDA")))))</f>
        <v>PROPOSTA VÁLIDA</v>
      </c>
      <c r="S81" s="41">
        <f t="shared" si="13"/>
        <v>297.49719999999996</v>
      </c>
      <c r="T81" s="165"/>
      <c r="U81" s="168"/>
      <c r="V81" s="13"/>
      <c r="W81" s="225"/>
    </row>
    <row r="82" spans="1:23" ht="19.899999999999999" customHeight="1" thickBot="1" x14ac:dyDescent="0.25">
      <c r="A82" s="178"/>
      <c r="B82" s="184"/>
      <c r="C82" s="121"/>
      <c r="D82" s="111"/>
      <c r="E82" s="60"/>
      <c r="F82" s="14" t="s">
        <v>646</v>
      </c>
      <c r="G82" s="15" t="s">
        <v>647</v>
      </c>
      <c r="H82" s="16" t="s">
        <v>809</v>
      </c>
      <c r="I82" s="93">
        <f>1248.91/3</f>
        <v>416.30333333333334</v>
      </c>
      <c r="J82" s="43">
        <v>0</v>
      </c>
      <c r="K82" s="43">
        <f>J82/E81</f>
        <v>0</v>
      </c>
      <c r="L82" s="43">
        <f t="shared" si="12"/>
        <v>416.30333333333334</v>
      </c>
      <c r="M82" s="172"/>
      <c r="N82" s="172"/>
      <c r="O82" s="175"/>
      <c r="P82" s="44"/>
      <c r="Q82" s="44"/>
      <c r="R82" s="45" t="str">
        <f>IF(O80&lt;0.25,"PROPOSTA VÁLIDA",((IF(L82&gt;P81,"PROPOSTA FORA DOS LIMITES",IF(L82&lt;Q81,"PROPOSTA FORA DOS LIMITES","PROPOSTA VÁLIDA")))))</f>
        <v>PROPOSTA VÁLIDA</v>
      </c>
      <c r="S82" s="45">
        <f t="shared" si="13"/>
        <v>416.30333333333334</v>
      </c>
      <c r="T82" s="166"/>
      <c r="U82" s="169"/>
      <c r="W82" s="225"/>
    </row>
    <row r="83" spans="1:23" ht="19.899999999999999" customHeight="1" thickTop="1" x14ac:dyDescent="0.2">
      <c r="A83" s="176" t="s">
        <v>595</v>
      </c>
      <c r="B83" s="182" t="s">
        <v>609</v>
      </c>
      <c r="C83" s="119"/>
      <c r="D83" s="103"/>
      <c r="E83" s="58"/>
      <c r="F83" s="8" t="s">
        <v>643</v>
      </c>
      <c r="G83" s="19" t="s">
        <v>644</v>
      </c>
      <c r="H83" s="12" t="s">
        <v>810</v>
      </c>
      <c r="I83" s="91">
        <v>340.18</v>
      </c>
      <c r="J83" s="21">
        <v>0</v>
      </c>
      <c r="K83" s="21">
        <f>J83/E84</f>
        <v>0</v>
      </c>
      <c r="L83" s="21">
        <f t="shared" si="12"/>
        <v>340.18</v>
      </c>
      <c r="M83" s="170">
        <f>_xlfn.STDEV.S(L83:L85)</f>
        <v>63.640804158167001</v>
      </c>
      <c r="N83" s="170">
        <f>(SUM(L83:L85))/((IF(L83=0,0,1))+(IF(L84=0,0,1))+(IF(L85=0,0,1)))</f>
        <v>358.12929523809527</v>
      </c>
      <c r="O83" s="173">
        <f>M83/N83</f>
        <v>0.17770343003036559</v>
      </c>
      <c r="P83" s="37"/>
      <c r="Q83" s="37"/>
      <c r="R83" s="38" t="str">
        <f>IF(O83&lt;0.25,"PROPOSTA VÁLIDA",((IF(L83&gt;P84,"PROPOSTA FORA DOS LIMITES",IF(L83&lt;Q84,"PROPOSTA FORA DOS LIMITES","PROPOSTA VÁLIDA")))))</f>
        <v>PROPOSTA VÁLIDA</v>
      </c>
      <c r="S83" s="38">
        <f t="shared" si="13"/>
        <v>340.18</v>
      </c>
      <c r="T83" s="164">
        <f>IF(O83&lt;0.25,AVERAGE(S83:S85),((IF(L83&gt;P84,0,IF(L83&lt;Q84,0,L83)))+(IF(L84&gt;P84,0,IF(L84&lt;Q84,0,L84)))+(IF(L85&gt;P84,0,IF(L85&lt;Q84,0,L85))))/(((IF(L83&gt;P84,0,IF(L83&lt;Q84,0,1))))+((IF(L84&gt;P84,0,IF(L84&lt;Q84,0,1))))+((IF(L85&gt;P84,0,IF(L85&lt;Q84,0,1))))))</f>
        <v>358.12929523809527</v>
      </c>
      <c r="U83" s="167">
        <f>IFERROR(T83*E84,"")</f>
        <v>2506.9050666666667</v>
      </c>
      <c r="W83" s="225"/>
    </row>
    <row r="84" spans="1:23" ht="19.899999999999999" customHeight="1" x14ac:dyDescent="0.2">
      <c r="A84" s="177"/>
      <c r="B84" s="183"/>
      <c r="C84" s="120" t="s">
        <v>530</v>
      </c>
      <c r="D84" s="104" t="s">
        <v>737</v>
      </c>
      <c r="E84" s="59">
        <v>7</v>
      </c>
      <c r="F84" s="10" t="s">
        <v>645</v>
      </c>
      <c r="G84" s="11" t="s">
        <v>648</v>
      </c>
      <c r="H84" s="12" t="s">
        <v>852</v>
      </c>
      <c r="I84" s="92">
        <v>301.94</v>
      </c>
      <c r="J84" s="20">
        <f>I84*0.08</f>
        <v>24.155200000000001</v>
      </c>
      <c r="K84" s="20">
        <f>J84/E84</f>
        <v>3.4507428571428571</v>
      </c>
      <c r="L84" s="20">
        <f t="shared" si="12"/>
        <v>305.39074285714287</v>
      </c>
      <c r="M84" s="171"/>
      <c r="N84" s="171"/>
      <c r="O84" s="174"/>
      <c r="P84" s="40" t="str">
        <f>IF(O83&gt;=0.25,N83+M83,"CV&lt;25%")</f>
        <v>CV&lt;25%</v>
      </c>
      <c r="Q84" s="40" t="str">
        <f>IF(O83&gt;=0.25,N83-M83,"CV&lt;25%")</f>
        <v>CV&lt;25%</v>
      </c>
      <c r="R84" s="41" t="str">
        <f>IF(O83&lt;0.25,"PROPOSTA VÁLIDA",((IF(L84&gt;P84,"PROPOSTA FORA DOS LIMITES",IF(L84&lt;Q84,"PROPOSTA FORA DOS LIMITES","PROPOSTA VÁLIDA")))))</f>
        <v>PROPOSTA VÁLIDA</v>
      </c>
      <c r="S84" s="41">
        <f t="shared" si="13"/>
        <v>305.39074285714287</v>
      </c>
      <c r="T84" s="165"/>
      <c r="U84" s="168"/>
      <c r="V84" s="13"/>
      <c r="W84" s="225"/>
    </row>
    <row r="85" spans="1:23" ht="19.899999999999999" customHeight="1" thickBot="1" x14ac:dyDescent="0.25">
      <c r="A85" s="178"/>
      <c r="B85" s="184"/>
      <c r="C85" s="121"/>
      <c r="D85" s="111"/>
      <c r="E85" s="60"/>
      <c r="F85" s="14" t="s">
        <v>646</v>
      </c>
      <c r="G85" s="15" t="s">
        <v>647</v>
      </c>
      <c r="H85" s="16" t="s">
        <v>809</v>
      </c>
      <c r="I85" s="93">
        <f>3001.72/7</f>
        <v>428.81714285714281</v>
      </c>
      <c r="J85" s="43">
        <v>0</v>
      </c>
      <c r="K85" s="43">
        <f>J85/E84</f>
        <v>0</v>
      </c>
      <c r="L85" s="43">
        <f t="shared" si="12"/>
        <v>428.81714285714281</v>
      </c>
      <c r="M85" s="172"/>
      <c r="N85" s="172"/>
      <c r="O85" s="175"/>
      <c r="P85" s="44"/>
      <c r="Q85" s="44"/>
      <c r="R85" s="45" t="str">
        <f>IF(O83&lt;0.25,"PROPOSTA VÁLIDA",((IF(L85&gt;P84,"PROPOSTA FORA DOS LIMITES",IF(L85&lt;Q84,"PROPOSTA FORA DOS LIMITES","PROPOSTA VÁLIDA")))))</f>
        <v>PROPOSTA VÁLIDA</v>
      </c>
      <c r="S85" s="45">
        <f t="shared" si="13"/>
        <v>428.81714285714281</v>
      </c>
      <c r="T85" s="166"/>
      <c r="U85" s="169"/>
      <c r="W85" s="225"/>
    </row>
    <row r="86" spans="1:23" ht="19.899999999999999" customHeight="1" thickTop="1" x14ac:dyDescent="0.2">
      <c r="A86" s="176" t="s">
        <v>545</v>
      </c>
      <c r="B86" s="182" t="s">
        <v>610</v>
      </c>
      <c r="C86" s="119"/>
      <c r="D86" s="103"/>
      <c r="E86" s="58"/>
      <c r="F86" s="8" t="s">
        <v>643</v>
      </c>
      <c r="G86" s="19" t="s">
        <v>644</v>
      </c>
      <c r="H86" s="12" t="s">
        <v>810</v>
      </c>
      <c r="I86" s="91">
        <v>246.6</v>
      </c>
      <c r="J86" s="21">
        <v>0</v>
      </c>
      <c r="K86" s="21">
        <f>J86/E87</f>
        <v>0</v>
      </c>
      <c r="L86" s="21">
        <f t="shared" si="12"/>
        <v>246.6</v>
      </c>
      <c r="M86" s="170">
        <f>_xlfn.STDEV.S(L86:L88)</f>
        <v>170.04176930448742</v>
      </c>
      <c r="N86" s="170">
        <f>(SUM(L86:L88))/((IF(L86=0,0,1))+(IF(L87=0,0,1))+(IF(L88=0,0,1)))</f>
        <v>421.12234666666672</v>
      </c>
      <c r="O86" s="173">
        <f>M86/N86</f>
        <v>0.40378234650910488</v>
      </c>
      <c r="P86" s="37"/>
      <c r="Q86" s="37"/>
      <c r="R86" s="38" t="str">
        <f>IF(O86&lt;0.25,"PROPOSTA VÁLIDA",((IF(L86&gt;P87,"PROPOSTA FORA DOS LIMITES",IF(L86&lt;Q87,"PROPOSTA FORA DOS LIMITES","PROPOSTA VÁLIDA")))))</f>
        <v>PROPOSTA FORA DOS LIMITES</v>
      </c>
      <c r="S86" s="38">
        <f t="shared" ref="S86:S109" si="14">(IF(R86="PROPOSTA VÁLIDA",L86,0))</f>
        <v>0</v>
      </c>
      <c r="T86" s="164">
        <f>IF(O86&lt;0.25,AVERAGE(S86:S88),((IF(L86&gt;P87,0,IF(L86&lt;Q87,0,L86)))+(IF(L87&gt;P87,0,IF(L87&lt;Q87,0,L87)))+(IF(L88&gt;P87,0,IF(L88&lt;Q87,0,L88))))/(((IF(L86&gt;P87,0,IF(L86&lt;Q87,0,1))))+((IF(L87&gt;P87,0,IF(L87&lt;Q87,0,1))))+((IF(L88&gt;P87,0,IF(L88&lt;Q87,0,1))))))</f>
        <v>508.38351999999998</v>
      </c>
      <c r="U86" s="167">
        <f>IFERROR(T86*E87,"")</f>
        <v>2541.9175999999998</v>
      </c>
      <c r="W86" s="225"/>
    </row>
    <row r="87" spans="1:23" ht="19.899999999999999" customHeight="1" x14ac:dyDescent="0.2">
      <c r="A87" s="177"/>
      <c r="B87" s="183"/>
      <c r="C87" s="120" t="s">
        <v>624</v>
      </c>
      <c r="D87" s="104" t="s">
        <v>737</v>
      </c>
      <c r="E87" s="59">
        <v>5</v>
      </c>
      <c r="F87" s="10" t="s">
        <v>645</v>
      </c>
      <c r="G87" s="11" t="s">
        <v>648</v>
      </c>
      <c r="H87" s="12" t="s">
        <v>852</v>
      </c>
      <c r="I87" s="92">
        <v>423.69</v>
      </c>
      <c r="J87" s="20">
        <f>I87*0.08</f>
        <v>33.895200000000003</v>
      </c>
      <c r="K87" s="20">
        <f>J87/E87</f>
        <v>6.7790400000000002</v>
      </c>
      <c r="L87" s="20">
        <f t="shared" si="12"/>
        <v>430.46904000000001</v>
      </c>
      <c r="M87" s="171"/>
      <c r="N87" s="171"/>
      <c r="O87" s="174"/>
      <c r="P87" s="40">
        <f>IF(O86&gt;=0.25,N86+M86,"CV&lt;25%")</f>
        <v>591.16411597115416</v>
      </c>
      <c r="Q87" s="40">
        <f>IF(O86&gt;=0.25,N86-M86,"CV&lt;25%")</f>
        <v>251.0805773621793</v>
      </c>
      <c r="R87" s="41" t="str">
        <f>IF(O86&lt;0.25,"PROPOSTA VÁLIDA",((IF(L87&gt;P87,"PROPOSTA FORA DOS LIMITES",IF(L87&lt;Q87,"PROPOSTA FORA DOS LIMITES","PROPOSTA VÁLIDA")))))</f>
        <v>PROPOSTA VÁLIDA</v>
      </c>
      <c r="S87" s="41">
        <f t="shared" si="14"/>
        <v>430.46904000000001</v>
      </c>
      <c r="T87" s="165"/>
      <c r="U87" s="168"/>
      <c r="V87" s="13"/>
      <c r="W87" s="225"/>
    </row>
    <row r="88" spans="1:23" ht="19.899999999999999" customHeight="1" thickBot="1" x14ac:dyDescent="0.25">
      <c r="A88" s="178"/>
      <c r="B88" s="184"/>
      <c r="C88" s="121"/>
      <c r="D88" s="111"/>
      <c r="E88" s="60"/>
      <c r="F88" s="14" t="s">
        <v>646</v>
      </c>
      <c r="G88" s="15" t="s">
        <v>647</v>
      </c>
      <c r="H88" s="16" t="s">
        <v>809</v>
      </c>
      <c r="I88" s="93">
        <f>2931.49/5</f>
        <v>586.298</v>
      </c>
      <c r="J88" s="43">
        <v>0</v>
      </c>
      <c r="K88" s="43">
        <f>J88/E87</f>
        <v>0</v>
      </c>
      <c r="L88" s="43">
        <f t="shared" si="12"/>
        <v>586.298</v>
      </c>
      <c r="M88" s="172"/>
      <c r="N88" s="172"/>
      <c r="O88" s="175"/>
      <c r="P88" s="44"/>
      <c r="Q88" s="44"/>
      <c r="R88" s="45" t="str">
        <f>IF(O86&lt;0.25,"PROPOSTA VÁLIDA",((IF(L88&gt;P87,"PROPOSTA FORA DOS LIMITES",IF(L88&lt;Q87,"PROPOSTA FORA DOS LIMITES","PROPOSTA VÁLIDA")))))</f>
        <v>PROPOSTA VÁLIDA</v>
      </c>
      <c r="S88" s="45">
        <f t="shared" si="14"/>
        <v>586.298</v>
      </c>
      <c r="T88" s="166"/>
      <c r="U88" s="169"/>
      <c r="W88" s="225"/>
    </row>
    <row r="89" spans="1:23" ht="19.899999999999999" customHeight="1" thickTop="1" x14ac:dyDescent="0.2">
      <c r="A89" s="176" t="s">
        <v>546</v>
      </c>
      <c r="B89" s="182" t="s">
        <v>632</v>
      </c>
      <c r="C89" s="119"/>
      <c r="D89" s="103"/>
      <c r="E89" s="58"/>
      <c r="F89" s="8" t="s">
        <v>643</v>
      </c>
      <c r="G89" s="19" t="s">
        <v>644</v>
      </c>
      <c r="H89" s="12" t="s">
        <v>810</v>
      </c>
      <c r="I89" s="91">
        <v>484.85</v>
      </c>
      <c r="J89" s="21">
        <v>0</v>
      </c>
      <c r="K89" s="21">
        <f>J89/E90</f>
        <v>0</v>
      </c>
      <c r="L89" s="21">
        <f t="shared" ref="L89:L97" si="15">I89+K89</f>
        <v>484.85</v>
      </c>
      <c r="M89" s="170">
        <f>_xlfn.STDEV.S(L89:L91)</f>
        <v>181.71566982601871</v>
      </c>
      <c r="N89" s="170">
        <f>(SUM(L89:L91))/((IF(L89=0,0,1))+(IF(L90=0,0,1))+(IF(L91=0,0,1)))</f>
        <v>374.5634380952381</v>
      </c>
      <c r="O89" s="173">
        <f>M89/N89</f>
        <v>0.48513990246911104</v>
      </c>
      <c r="P89" s="37"/>
      <c r="Q89" s="37"/>
      <c r="R89" s="38" t="str">
        <f>IF(O89&lt;0.25,"PROPOSTA VÁLIDA",((IF(L89&gt;P90,"PROPOSTA FORA DOS LIMITES",IF(L89&lt;Q90,"PROPOSTA FORA DOS LIMITES","PROPOSTA VÁLIDA")))))</f>
        <v>PROPOSTA VÁLIDA</v>
      </c>
      <c r="S89" s="38">
        <f t="shared" ref="S89:S91" si="16">(IF(R89="PROPOSTA VÁLIDA",L89,0))</f>
        <v>484.85</v>
      </c>
      <c r="T89" s="164">
        <f>IF(O89&lt;0.25,AVERAGE(S89:S91),((IF(L89&gt;P90,0,IF(L89&lt;Q90,0,L89)))+(IF(L90&gt;P90,0,IF(L90&lt;Q90,0,L90)))+(IF(L91&gt;P90,0,IF(L91&lt;Q90,0,L91))))/(((IF(L89&gt;P90,0,IF(L89&lt;Q90,0,1))))+((IF(L90&gt;P90,0,IF(L90&lt;Q90,0,1))))+((IF(L91&gt;P90,0,IF(L91&lt;Q90,0,1))))))</f>
        <v>479.43035714285713</v>
      </c>
      <c r="U89" s="167">
        <f>IFERROR(T89*E90,"")</f>
        <v>13424.05</v>
      </c>
    </row>
    <row r="90" spans="1:23" ht="19.899999999999999" customHeight="1" x14ac:dyDescent="0.2">
      <c r="A90" s="177"/>
      <c r="B90" s="183"/>
      <c r="C90" s="120" t="s">
        <v>626</v>
      </c>
      <c r="D90" s="104" t="s">
        <v>737</v>
      </c>
      <c r="E90" s="59">
        <v>28</v>
      </c>
      <c r="F90" s="10" t="s">
        <v>645</v>
      </c>
      <c r="G90" s="11" t="s">
        <v>648</v>
      </c>
      <c r="H90" s="12" t="s">
        <v>852</v>
      </c>
      <c r="I90" s="92">
        <v>164.36</v>
      </c>
      <c r="J90" s="20">
        <f>I90*0.08</f>
        <v>13.148800000000001</v>
      </c>
      <c r="K90" s="20">
        <f>J90/E90</f>
        <v>0.46960000000000007</v>
      </c>
      <c r="L90" s="20">
        <f t="shared" si="15"/>
        <v>164.82960000000003</v>
      </c>
      <c r="M90" s="171"/>
      <c r="N90" s="171"/>
      <c r="O90" s="174"/>
      <c r="P90" s="40">
        <f>IF(O89&gt;=0.25,N89+M89,"CV&lt;25%")</f>
        <v>556.27910792125681</v>
      </c>
      <c r="Q90" s="40">
        <f>IF(O89&gt;=0.25,N89-M89,"CV&lt;25%")</f>
        <v>192.84776826921939</v>
      </c>
      <c r="R90" s="41" t="str">
        <f>IF(O89&lt;0.25,"PROPOSTA VÁLIDA",((IF(L90&gt;P90,"PROPOSTA FORA DOS LIMITES",IF(L90&lt;Q90,"PROPOSTA FORA DOS LIMITES","PROPOSTA VÁLIDA")))))</f>
        <v>PROPOSTA FORA DOS LIMITES</v>
      </c>
      <c r="S90" s="41">
        <f t="shared" si="16"/>
        <v>0</v>
      </c>
      <c r="T90" s="165"/>
      <c r="U90" s="168"/>
      <c r="V90" s="13"/>
    </row>
    <row r="91" spans="1:23" ht="19.899999999999999" customHeight="1" thickBot="1" x14ac:dyDescent="0.25">
      <c r="A91" s="178"/>
      <c r="B91" s="184"/>
      <c r="C91" s="121"/>
      <c r="D91" s="111"/>
      <c r="E91" s="60"/>
      <c r="F91" s="14" t="s">
        <v>646</v>
      </c>
      <c r="G91" s="15" t="s">
        <v>647</v>
      </c>
      <c r="H91" s="16" t="s">
        <v>809</v>
      </c>
      <c r="I91" s="93">
        <f>13272.3/28</f>
        <v>474.01071428571424</v>
      </c>
      <c r="J91" s="43">
        <v>0</v>
      </c>
      <c r="K91" s="43">
        <f>J91/E90</f>
        <v>0</v>
      </c>
      <c r="L91" s="43">
        <f t="shared" si="15"/>
        <v>474.01071428571424</v>
      </c>
      <c r="M91" s="172"/>
      <c r="N91" s="172"/>
      <c r="O91" s="175"/>
      <c r="P91" s="44"/>
      <c r="Q91" s="44"/>
      <c r="R91" s="45" t="str">
        <f>IF(O89&lt;0.25,"PROPOSTA VÁLIDA",((IF(L91&gt;P90,"PROPOSTA FORA DOS LIMITES",IF(L91&lt;Q90,"PROPOSTA FORA DOS LIMITES","PROPOSTA VÁLIDA")))))</f>
        <v>PROPOSTA VÁLIDA</v>
      </c>
      <c r="S91" s="45">
        <f t="shared" si="16"/>
        <v>474.01071428571424</v>
      </c>
      <c r="T91" s="166"/>
      <c r="U91" s="169"/>
    </row>
    <row r="92" spans="1:23" ht="19.899999999999999" customHeight="1" thickTop="1" x14ac:dyDescent="0.2">
      <c r="A92" s="176" t="s">
        <v>547</v>
      </c>
      <c r="B92" s="182" t="s">
        <v>633</v>
      </c>
      <c r="C92" s="119"/>
      <c r="D92" s="103"/>
      <c r="E92" s="58"/>
      <c r="F92" s="8" t="s">
        <v>643</v>
      </c>
      <c r="G92" s="19" t="s">
        <v>644</v>
      </c>
      <c r="H92" s="12" t="s">
        <v>810</v>
      </c>
      <c r="I92" s="91">
        <v>480.11</v>
      </c>
      <c r="J92" s="21">
        <v>0</v>
      </c>
      <c r="K92" s="21">
        <f>J92/E93</f>
        <v>0</v>
      </c>
      <c r="L92" s="21">
        <f t="shared" si="15"/>
        <v>480.11</v>
      </c>
      <c r="M92" s="170">
        <f>_xlfn.STDEV.S(L92:L94)</f>
        <v>94.183546947704414</v>
      </c>
      <c r="N92" s="170">
        <f>(SUM(L92:L94))/((IF(L92=0,0,1))+(IF(L93=0,0,1))+(IF(L94=0,0,1)))</f>
        <v>402.14128888888882</v>
      </c>
      <c r="O92" s="173">
        <f>M92/N92</f>
        <v>0.23420511534125812</v>
      </c>
      <c r="P92" s="37"/>
      <c r="Q92" s="37"/>
      <c r="R92" s="38" t="str">
        <f>IF(O92&lt;0.25,"PROPOSTA VÁLIDA",((IF(L92&gt;P93,"PROPOSTA FORA DOS LIMITES",IF(L92&lt;Q93,"PROPOSTA FORA DOS LIMITES","PROPOSTA VÁLIDA")))))</f>
        <v>PROPOSTA VÁLIDA</v>
      </c>
      <c r="S92" s="38">
        <f t="shared" ref="S92:S97" si="17">(IF(R92="PROPOSTA VÁLIDA",L92,0))</f>
        <v>480.11</v>
      </c>
      <c r="T92" s="164">
        <f>IF(O92&lt;0.25,AVERAGE(S92:S94),((IF(L92&gt;P93,0,IF(L92&lt;Q93,0,L92)))+(IF(L93&gt;P93,0,IF(L93&lt;Q93,0,L93)))+(IF(L94&gt;P93,0,IF(L94&lt;Q93,0,L94))))/(((IF(L92&gt;P93,0,IF(L92&lt;Q93,0,1))))+((IF(L93&gt;P93,0,IF(L93&lt;Q93,0,1))))+((IF(L94&gt;P93,0,IF(L94&lt;Q93,0,1))))))</f>
        <v>402.14128888888882</v>
      </c>
      <c r="U92" s="167">
        <f>IFERROR(T92*E93,"")</f>
        <v>1206.4238666666665</v>
      </c>
    </row>
    <row r="93" spans="1:23" ht="19.899999999999999" customHeight="1" x14ac:dyDescent="0.2">
      <c r="A93" s="177"/>
      <c r="B93" s="183"/>
      <c r="C93" s="120" t="s">
        <v>542</v>
      </c>
      <c r="D93" s="104" t="s">
        <v>737</v>
      </c>
      <c r="E93" s="59">
        <v>3</v>
      </c>
      <c r="F93" s="10" t="s">
        <v>645</v>
      </c>
      <c r="G93" s="11" t="s">
        <v>648</v>
      </c>
      <c r="H93" s="12" t="s">
        <v>852</v>
      </c>
      <c r="I93" s="92">
        <v>289.77</v>
      </c>
      <c r="J93" s="20">
        <f>I93*0.08</f>
        <v>23.1816</v>
      </c>
      <c r="K93" s="20">
        <f>J93/E93</f>
        <v>7.7271999999999998</v>
      </c>
      <c r="L93" s="20">
        <f t="shared" si="15"/>
        <v>297.49719999999996</v>
      </c>
      <c r="M93" s="171"/>
      <c r="N93" s="171"/>
      <c r="O93" s="174"/>
      <c r="P93" s="40" t="str">
        <f>IF(O92&gt;=0.25,N92+M92,"CV&lt;25%")</f>
        <v>CV&lt;25%</v>
      </c>
      <c r="Q93" s="40" t="str">
        <f>IF(O92&gt;=0.25,N92-M92,"CV&lt;25%")</f>
        <v>CV&lt;25%</v>
      </c>
      <c r="R93" s="41" t="str">
        <f>IF(O92&lt;0.25,"PROPOSTA VÁLIDA",((IF(L93&gt;P93,"PROPOSTA FORA DOS LIMITES",IF(L93&lt;Q93,"PROPOSTA FORA DOS LIMITES","PROPOSTA VÁLIDA")))))</f>
        <v>PROPOSTA VÁLIDA</v>
      </c>
      <c r="S93" s="41">
        <f t="shared" si="17"/>
        <v>297.49719999999996</v>
      </c>
      <c r="T93" s="165"/>
      <c r="U93" s="168"/>
      <c r="V93" s="13"/>
    </row>
    <row r="94" spans="1:23" ht="19.899999999999999" customHeight="1" thickBot="1" x14ac:dyDescent="0.25">
      <c r="A94" s="178"/>
      <c r="B94" s="184"/>
      <c r="C94" s="121"/>
      <c r="D94" s="111"/>
      <c r="E94" s="60"/>
      <c r="F94" s="14" t="s">
        <v>646</v>
      </c>
      <c r="G94" s="15" t="s">
        <v>647</v>
      </c>
      <c r="H94" s="16" t="s">
        <v>809</v>
      </c>
      <c r="I94" s="93">
        <f>1286.45/3</f>
        <v>428.81666666666666</v>
      </c>
      <c r="J94" s="43">
        <v>0</v>
      </c>
      <c r="K94" s="43">
        <f>J94/E93</f>
        <v>0</v>
      </c>
      <c r="L94" s="43">
        <f t="shared" si="15"/>
        <v>428.81666666666666</v>
      </c>
      <c r="M94" s="172"/>
      <c r="N94" s="172"/>
      <c r="O94" s="175"/>
      <c r="P94" s="44"/>
      <c r="Q94" s="44"/>
      <c r="R94" s="45" t="str">
        <f>IF(O92&lt;0.25,"PROPOSTA VÁLIDA",((IF(L94&gt;P93,"PROPOSTA FORA DOS LIMITES",IF(L94&lt;Q93,"PROPOSTA FORA DOS LIMITES","PROPOSTA VÁLIDA")))))</f>
        <v>PROPOSTA VÁLIDA</v>
      </c>
      <c r="S94" s="45">
        <f t="shared" si="17"/>
        <v>428.81666666666666</v>
      </c>
      <c r="T94" s="166"/>
      <c r="U94" s="169"/>
    </row>
    <row r="95" spans="1:23" ht="19.899999999999999" customHeight="1" thickTop="1" x14ac:dyDescent="0.2">
      <c r="A95" s="176" t="s">
        <v>548</v>
      </c>
      <c r="B95" s="182" t="s">
        <v>634</v>
      </c>
      <c r="C95" s="119"/>
      <c r="D95" s="103"/>
      <c r="E95" s="58"/>
      <c r="F95" s="8" t="s">
        <v>643</v>
      </c>
      <c r="G95" s="19" t="s">
        <v>644</v>
      </c>
      <c r="H95" s="12" t="s">
        <v>810</v>
      </c>
      <c r="I95" s="91">
        <v>425.04</v>
      </c>
      <c r="J95" s="21">
        <v>0</v>
      </c>
      <c r="K95" s="21">
        <f>J95/E96</f>
        <v>0</v>
      </c>
      <c r="L95" s="21">
        <f t="shared" si="15"/>
        <v>425.04</v>
      </c>
      <c r="M95" s="170">
        <f>_xlfn.STDEV.S(L95:L97)</f>
        <v>122.37476049987382</v>
      </c>
      <c r="N95" s="170">
        <f>(SUM(L95:L97))/((IF(L95=0,0,1))+(IF(L96=0,0,1))+(IF(L97=0,0,1)))</f>
        <v>356.28364444444446</v>
      </c>
      <c r="O95" s="173">
        <f>M95/N95</f>
        <v>0.34347566161981313</v>
      </c>
      <c r="P95" s="37"/>
      <c r="Q95" s="37"/>
      <c r="R95" s="38" t="str">
        <f>IF(O95&lt;0.25,"PROPOSTA VÁLIDA",((IF(L95&gt;P96,"PROPOSTA FORA DOS LIMITES",IF(L95&lt;Q96,"PROPOSTA FORA DOS LIMITES","PROPOSTA VÁLIDA")))))</f>
        <v>PROPOSTA VÁLIDA</v>
      </c>
      <c r="S95" s="38">
        <f t="shared" si="17"/>
        <v>425.04</v>
      </c>
      <c r="T95" s="164">
        <f>IF(O95&lt;0.25,AVERAGE(S95:S97),((IF(L95&gt;P96,0,IF(L95&lt;Q96,0,L95)))+(IF(L96&gt;P96,0,IF(L96&lt;Q96,0,L96)))+(IF(L97&gt;P96,0,IF(L97&lt;Q96,0,L97))))/(((IF(L95&gt;P96,0,IF(L95&lt;Q96,0,1))))+((IF(L96&gt;P96,0,IF(L96&lt;Q96,0,1))))+((IF(L97&gt;P96,0,IF(L97&lt;Q96,0,1))))))</f>
        <v>426.92833333333334</v>
      </c>
      <c r="U95" s="167">
        <f>IFERROR(T95*E96,"")</f>
        <v>10246.280000000001</v>
      </c>
    </row>
    <row r="96" spans="1:23" ht="19.899999999999999" customHeight="1" x14ac:dyDescent="0.2">
      <c r="A96" s="177"/>
      <c r="B96" s="183"/>
      <c r="C96" s="120" t="s">
        <v>743</v>
      </c>
      <c r="D96" s="104" t="s">
        <v>737</v>
      </c>
      <c r="E96" s="59">
        <v>24</v>
      </c>
      <c r="F96" s="10" t="s">
        <v>645</v>
      </c>
      <c r="G96" s="11" t="s">
        <v>648</v>
      </c>
      <c r="H96" s="12" t="s">
        <v>852</v>
      </c>
      <c r="I96" s="92">
        <v>214.28</v>
      </c>
      <c r="J96" s="20">
        <f>I96*0.08</f>
        <v>17.142400000000002</v>
      </c>
      <c r="K96" s="20">
        <f>J96/E96</f>
        <v>0.71426666666666672</v>
      </c>
      <c r="L96" s="20">
        <f t="shared" si="15"/>
        <v>214.99426666666668</v>
      </c>
      <c r="M96" s="171"/>
      <c r="N96" s="171"/>
      <c r="O96" s="174"/>
      <c r="P96" s="40">
        <f>IF(O95&gt;=0.25,N95+M95,"CV&lt;25%")</f>
        <v>478.65840494431825</v>
      </c>
      <c r="Q96" s="40">
        <f>IF(O95&gt;=0.25,N95-M95,"CV&lt;25%")</f>
        <v>233.90888394457065</v>
      </c>
      <c r="R96" s="41" t="str">
        <f>IF(O95&lt;0.25,"PROPOSTA VÁLIDA",((IF(L96&gt;P96,"PROPOSTA FORA DOS LIMITES",IF(L96&lt;Q96,"PROPOSTA FORA DOS LIMITES","PROPOSTA VÁLIDA")))))</f>
        <v>PROPOSTA FORA DOS LIMITES</v>
      </c>
      <c r="S96" s="41">
        <f t="shared" si="17"/>
        <v>0</v>
      </c>
      <c r="T96" s="165"/>
      <c r="U96" s="168"/>
      <c r="V96" s="13"/>
    </row>
    <row r="97" spans="1:22" ht="19.899999999999999" customHeight="1" thickBot="1" x14ac:dyDescent="0.25">
      <c r="A97" s="178"/>
      <c r="B97" s="184"/>
      <c r="C97" s="121"/>
      <c r="D97" s="111"/>
      <c r="E97" s="60"/>
      <c r="F97" s="14" t="s">
        <v>646</v>
      </c>
      <c r="G97" s="15" t="s">
        <v>647</v>
      </c>
      <c r="H97" s="16" t="s">
        <v>809</v>
      </c>
      <c r="I97" s="93">
        <f>10291.6/24</f>
        <v>428.81666666666666</v>
      </c>
      <c r="J97" s="43">
        <v>0</v>
      </c>
      <c r="K97" s="43">
        <f>J97/E96</f>
        <v>0</v>
      </c>
      <c r="L97" s="43">
        <f t="shared" si="15"/>
        <v>428.81666666666666</v>
      </c>
      <c r="M97" s="172"/>
      <c r="N97" s="172"/>
      <c r="O97" s="175"/>
      <c r="P97" s="44"/>
      <c r="Q97" s="44"/>
      <c r="R97" s="45" t="str">
        <f>IF(O95&lt;0.25,"PROPOSTA VÁLIDA",((IF(L97&gt;P96,"PROPOSTA FORA DOS LIMITES",IF(L97&lt;Q96,"PROPOSTA FORA DOS LIMITES","PROPOSTA VÁLIDA")))))</f>
        <v>PROPOSTA VÁLIDA</v>
      </c>
      <c r="S97" s="45">
        <f t="shared" si="17"/>
        <v>428.81666666666666</v>
      </c>
      <c r="T97" s="166"/>
      <c r="U97" s="169"/>
    </row>
    <row r="98" spans="1:22" ht="19.899999999999999" customHeight="1" thickTop="1" x14ac:dyDescent="0.2">
      <c r="A98" s="176" t="s">
        <v>550</v>
      </c>
      <c r="B98" s="195" t="s">
        <v>130</v>
      </c>
      <c r="C98" s="176" t="s">
        <v>895</v>
      </c>
      <c r="D98" s="103"/>
      <c r="E98" s="58"/>
      <c r="F98" s="8" t="s">
        <v>59</v>
      </c>
      <c r="G98" s="19" t="s">
        <v>60</v>
      </c>
      <c r="H98" s="22" t="s">
        <v>131</v>
      </c>
      <c r="I98" s="91">
        <v>4.99</v>
      </c>
      <c r="J98" s="21">
        <v>15.9</v>
      </c>
      <c r="K98" s="21">
        <f>J98/E99</f>
        <v>0.23382352941176471</v>
      </c>
      <c r="L98" s="21">
        <f t="shared" ref="L98:L100" si="18">I98+K98</f>
        <v>5.2238235294117645</v>
      </c>
      <c r="M98" s="170">
        <f>_xlfn.STDEV.S(L98:L100)</f>
        <v>0.29797282219720311</v>
      </c>
      <c r="N98" s="170">
        <f>(SUM(L98:L100))/((IF(L98=0,0,1))+(IF(L99=0,0,1))+(IF(L100=0,0,1)))</f>
        <v>4.880588235294117</v>
      </c>
      <c r="O98" s="173">
        <f>M98/N98</f>
        <v>6.1052645261569886E-2</v>
      </c>
      <c r="P98" s="37"/>
      <c r="Q98" s="37"/>
      <c r="R98" s="38" t="str">
        <f>IF(O98&lt;0.25,"PROPOSTA VÁLIDA",((IF(L98&gt;P99,"PROPOSTA FORA DOS LIMITES",IF(L98&lt;Q99,"PROPOSTA FORA DOS LIMITES","PROPOSTA VÁLIDA")))))</f>
        <v>PROPOSTA VÁLIDA</v>
      </c>
      <c r="S98" s="38">
        <f t="shared" ref="S98:S100" si="19">(IF(R98="PROPOSTA VÁLIDA",L98,0))</f>
        <v>5.2238235294117645</v>
      </c>
      <c r="T98" s="164">
        <f>IF(O98&lt;0.25,AVERAGE(S98:S100),((IF(L98&gt;P99,0,IF(L98&lt;Q99,0,L98)))+(IF(L99&gt;P99,0,IF(L99&lt;Q99,0,L99)))+(IF(L100&gt;P99,0,IF(L100&lt;Q99,0,L100))))/(((IF(L98&gt;P99,0,IF(L98&lt;Q99,0,1))))+((IF(L99&gt;P99,0,IF(L99&lt;Q99,0,1))))+((IF(L100&gt;P99,0,IF(L100&lt;Q99,0,1))))))</f>
        <v>4.880588235294117</v>
      </c>
      <c r="U98" s="167">
        <f>IFERROR(T98*E99,"")</f>
        <v>331.87999999999994</v>
      </c>
    </row>
    <row r="99" spans="1:22" ht="19.899999999999999" customHeight="1" x14ac:dyDescent="0.2">
      <c r="A99" s="177"/>
      <c r="B99" s="196"/>
      <c r="C99" s="177"/>
      <c r="D99" s="104" t="s">
        <v>737</v>
      </c>
      <c r="E99" s="59">
        <v>68</v>
      </c>
      <c r="F99" s="10" t="s">
        <v>26</v>
      </c>
      <c r="G99" s="11" t="s">
        <v>27</v>
      </c>
      <c r="H99" s="12" t="s">
        <v>132</v>
      </c>
      <c r="I99" s="92">
        <v>4.29</v>
      </c>
      <c r="J99" s="20">
        <v>29.9</v>
      </c>
      <c r="K99" s="20">
        <f>J99/E99</f>
        <v>0.43970588235294117</v>
      </c>
      <c r="L99" s="20">
        <f t="shared" si="18"/>
        <v>4.729705882352941</v>
      </c>
      <c r="M99" s="171"/>
      <c r="N99" s="171"/>
      <c r="O99" s="174"/>
      <c r="P99" s="40" t="str">
        <f>IF(O98&gt;=0.25,N98+M98,"CV&lt;25%")</f>
        <v>CV&lt;25%</v>
      </c>
      <c r="Q99" s="40" t="str">
        <f>IF(O98&gt;=0.25,N98-M98,"CV&lt;25%")</f>
        <v>CV&lt;25%</v>
      </c>
      <c r="R99" s="41" t="str">
        <f>IF(O98&lt;0.25,"PROPOSTA VÁLIDA",((IF(L99&gt;P99,"PROPOSTA FORA DOS LIMITES",IF(L99&lt;Q99,"PROPOSTA FORA DOS LIMITES","PROPOSTA VÁLIDA")))))</f>
        <v>PROPOSTA VÁLIDA</v>
      </c>
      <c r="S99" s="41">
        <f t="shared" si="19"/>
        <v>4.729705882352941</v>
      </c>
      <c r="T99" s="165"/>
      <c r="U99" s="168"/>
      <c r="V99" s="13"/>
    </row>
    <row r="100" spans="1:22" ht="19.899999999999999" customHeight="1" thickBot="1" x14ac:dyDescent="0.25">
      <c r="A100" s="178"/>
      <c r="B100" s="197"/>
      <c r="C100" s="178"/>
      <c r="D100" s="111"/>
      <c r="E100" s="60"/>
      <c r="F100" s="14" t="s">
        <v>21</v>
      </c>
      <c r="G100" s="15" t="s">
        <v>22</v>
      </c>
      <c r="H100" s="16" t="s">
        <v>133</v>
      </c>
      <c r="I100" s="93">
        <v>4.4000000000000004</v>
      </c>
      <c r="J100" s="43">
        <v>19.600000000000001</v>
      </c>
      <c r="K100" s="43">
        <f>J100/E99</f>
        <v>0.28823529411764709</v>
      </c>
      <c r="L100" s="43">
        <f t="shared" si="18"/>
        <v>4.6882352941176473</v>
      </c>
      <c r="M100" s="172"/>
      <c r="N100" s="172"/>
      <c r="O100" s="175"/>
      <c r="P100" s="44"/>
      <c r="Q100" s="44"/>
      <c r="R100" s="45" t="str">
        <f>IF(O98&lt;0.25,"PROPOSTA VÁLIDA",((IF(L100&gt;P99,"PROPOSTA FORA DOS LIMITES",IF(L100&lt;Q99,"PROPOSTA FORA DOS LIMITES","PROPOSTA VÁLIDA")))))</f>
        <v>PROPOSTA VÁLIDA</v>
      </c>
      <c r="S100" s="45">
        <f t="shared" si="19"/>
        <v>4.6882352941176473</v>
      </c>
      <c r="T100" s="166"/>
      <c r="U100" s="169"/>
    </row>
    <row r="101" spans="1:22" ht="19.899999999999999" customHeight="1" thickTop="1" x14ac:dyDescent="0.2">
      <c r="A101" s="176" t="s">
        <v>551</v>
      </c>
      <c r="B101" s="188" t="s">
        <v>134</v>
      </c>
      <c r="C101" s="98"/>
      <c r="D101" s="198" t="s">
        <v>746</v>
      </c>
      <c r="E101" s="58"/>
      <c r="F101" s="8" t="s">
        <v>59</v>
      </c>
      <c r="G101" s="19" t="s">
        <v>60</v>
      </c>
      <c r="H101" s="22" t="s">
        <v>135</v>
      </c>
      <c r="I101" s="136"/>
      <c r="J101" s="125"/>
      <c r="K101" s="125"/>
      <c r="L101" s="125"/>
      <c r="M101" s="185"/>
      <c r="N101" s="185"/>
      <c r="O101" s="192"/>
      <c r="P101" s="113"/>
      <c r="Q101" s="113"/>
      <c r="R101" s="114"/>
      <c r="S101" s="114"/>
      <c r="T101" s="185"/>
      <c r="U101" s="201"/>
    </row>
    <row r="102" spans="1:22" ht="19.899999999999999" customHeight="1" x14ac:dyDescent="0.2">
      <c r="A102" s="177"/>
      <c r="B102" s="189"/>
      <c r="C102" s="109" t="s">
        <v>737</v>
      </c>
      <c r="D102" s="199"/>
      <c r="E102" s="59">
        <v>96</v>
      </c>
      <c r="F102" s="10" t="s">
        <v>136</v>
      </c>
      <c r="G102" s="11" t="s">
        <v>137</v>
      </c>
      <c r="H102" s="12" t="s">
        <v>138</v>
      </c>
      <c r="I102" s="126"/>
      <c r="J102" s="126"/>
      <c r="K102" s="126"/>
      <c r="L102" s="126"/>
      <c r="M102" s="186"/>
      <c r="N102" s="186"/>
      <c r="O102" s="193"/>
      <c r="P102" s="115"/>
      <c r="Q102" s="115"/>
      <c r="R102" s="116"/>
      <c r="S102" s="116"/>
      <c r="T102" s="186"/>
      <c r="U102" s="202"/>
      <c r="V102" s="13"/>
    </row>
    <row r="103" spans="1:22" ht="19.899999999999999" customHeight="1" thickBot="1" x14ac:dyDescent="0.25">
      <c r="A103" s="178"/>
      <c r="B103" s="190"/>
      <c r="C103" s="99"/>
      <c r="D103" s="200"/>
      <c r="E103" s="60"/>
      <c r="F103" s="14" t="s">
        <v>26</v>
      </c>
      <c r="G103" s="15" t="s">
        <v>27</v>
      </c>
      <c r="H103" s="16" t="s">
        <v>139</v>
      </c>
      <c r="I103" s="127"/>
      <c r="J103" s="127"/>
      <c r="K103" s="127"/>
      <c r="L103" s="127"/>
      <c r="M103" s="187"/>
      <c r="N103" s="187"/>
      <c r="O103" s="194"/>
      <c r="P103" s="117"/>
      <c r="Q103" s="117"/>
      <c r="R103" s="118"/>
      <c r="S103" s="118"/>
      <c r="T103" s="187"/>
      <c r="U103" s="203"/>
    </row>
    <row r="104" spans="1:22" ht="19.899999999999999" customHeight="1" thickTop="1" x14ac:dyDescent="0.2">
      <c r="A104" s="176" t="s">
        <v>535</v>
      </c>
      <c r="B104" s="188" t="s">
        <v>140</v>
      </c>
      <c r="C104" s="119"/>
      <c r="D104" s="103"/>
      <c r="E104" s="58"/>
      <c r="F104" s="8" t="s">
        <v>44</v>
      </c>
      <c r="G104" s="19" t="s">
        <v>45</v>
      </c>
      <c r="H104" s="22" t="s">
        <v>141</v>
      </c>
      <c r="I104" s="91">
        <v>13.9</v>
      </c>
      <c r="J104" s="21">
        <v>12.34</v>
      </c>
      <c r="K104" s="21">
        <f>J104/E105</f>
        <v>4.4548736462093862E-2</v>
      </c>
      <c r="L104" s="21">
        <f t="shared" ref="L104:L109" si="20">I104+K104</f>
        <v>13.944548736462094</v>
      </c>
      <c r="M104" s="170">
        <f>_xlfn.STDEV.S(L104:L106)</f>
        <v>6.7833755068610779</v>
      </c>
      <c r="N104" s="170">
        <f>(SUM(L104:L106))/((IF(L104=0,0,1))+(IF(L105=0,0,1))+(IF(L106=0,0,1)))</f>
        <v>12.851660649819495</v>
      </c>
      <c r="O104" s="173">
        <f>M104/N104</f>
        <v>0.52782093238326766</v>
      </c>
      <c r="P104" s="37"/>
      <c r="Q104" s="37"/>
      <c r="R104" s="38" t="str">
        <f>IF(O104&lt;0.25,"PROPOSTA VÁLIDA",((IF(L104&gt;P105,"PROPOSTA FORA DOS LIMITES",IF(L104&lt;Q105,"PROPOSTA FORA DOS LIMITES","PROPOSTA VÁLIDA")))))</f>
        <v>PROPOSTA VÁLIDA</v>
      </c>
      <c r="S104" s="38">
        <f t="shared" si="14"/>
        <v>13.944548736462094</v>
      </c>
      <c r="T104" s="164">
        <f>IF(O104&lt;0.25,AVERAGE(S104:S106),((IF(L104&gt;P105,0,IF(L104&lt;Q105,0,L104)))+(IF(L105&gt;P105,0,IF(L105&lt;Q105,0,L105)))+(IF(L106&gt;P105,0,IF(L106&lt;Q105,0,L106))))/(((IF(L104&gt;P105,0,IF(L104&lt;Q105,0,1))))+((IF(L105&gt;P105,0,IF(L105&lt;Q105,0,1))))+((IF(L106&gt;P105,0,IF(L106&lt;Q105,0,1))))))</f>
        <v>16.483393501805054</v>
      </c>
      <c r="U104" s="167">
        <f>IFERROR(T104*E105,"")</f>
        <v>4565.8999999999996</v>
      </c>
    </row>
    <row r="105" spans="1:22" ht="19.899999999999999" customHeight="1" x14ac:dyDescent="0.2">
      <c r="A105" s="177"/>
      <c r="B105" s="189"/>
      <c r="C105" s="120" t="s">
        <v>543</v>
      </c>
      <c r="D105" s="104" t="s">
        <v>737</v>
      </c>
      <c r="E105" s="59">
        <v>277</v>
      </c>
      <c r="F105" s="10" t="s">
        <v>20</v>
      </c>
      <c r="G105" s="11" t="s">
        <v>142</v>
      </c>
      <c r="H105" s="12" t="s">
        <v>143</v>
      </c>
      <c r="I105" s="92">
        <v>18.989999999999998</v>
      </c>
      <c r="J105" s="20">
        <v>8.93</v>
      </c>
      <c r="K105" s="20">
        <f>J105/E105</f>
        <v>3.2238267148014442E-2</v>
      </c>
      <c r="L105" s="20">
        <f t="shared" si="20"/>
        <v>19.022238267148012</v>
      </c>
      <c r="M105" s="171"/>
      <c r="N105" s="171"/>
      <c r="O105" s="174"/>
      <c r="P105" s="40">
        <f>IF(O104&gt;=0.25,N104+M104,"CV&lt;25%")</f>
        <v>19.635036156680574</v>
      </c>
      <c r="Q105" s="40">
        <f>IF(O104&gt;=0.25,N104-M104,"CV&lt;25%")</f>
        <v>6.068285142958417</v>
      </c>
      <c r="R105" s="41" t="str">
        <f>IF(O104&lt;0.25,"PROPOSTA VÁLIDA",((IF(L105&gt;P105,"PROPOSTA FORA DOS LIMITES",IF(L105&lt;Q105,"PROPOSTA FORA DOS LIMITES","PROPOSTA VÁLIDA")))))</f>
        <v>PROPOSTA VÁLIDA</v>
      </c>
      <c r="S105" s="41">
        <f t="shared" si="14"/>
        <v>19.022238267148012</v>
      </c>
      <c r="T105" s="165"/>
      <c r="U105" s="168"/>
      <c r="V105" s="13"/>
    </row>
    <row r="106" spans="1:22" ht="19.899999999999999" customHeight="1" thickBot="1" x14ac:dyDescent="0.25">
      <c r="A106" s="178"/>
      <c r="B106" s="190"/>
      <c r="C106" s="121"/>
      <c r="D106" s="111"/>
      <c r="E106" s="60"/>
      <c r="F106" s="14" t="s">
        <v>40</v>
      </c>
      <c r="G106" s="15" t="s">
        <v>41</v>
      </c>
      <c r="H106" s="16" t="s">
        <v>144</v>
      </c>
      <c r="I106" s="93">
        <v>5.48</v>
      </c>
      <c r="J106" s="43">
        <v>29.97</v>
      </c>
      <c r="K106" s="43">
        <f>J106/E105</f>
        <v>0.10819494584837545</v>
      </c>
      <c r="L106" s="43">
        <f t="shared" si="20"/>
        <v>5.5881949458483762</v>
      </c>
      <c r="M106" s="172"/>
      <c r="N106" s="172"/>
      <c r="O106" s="175"/>
      <c r="P106" s="44"/>
      <c r="Q106" s="44"/>
      <c r="R106" s="45" t="str">
        <f>IF(O104&lt;0.25,"PROPOSTA VÁLIDA",((IF(L106&gt;P105,"PROPOSTA FORA DOS LIMITES",IF(L106&lt;Q105,"PROPOSTA FORA DOS LIMITES","PROPOSTA VÁLIDA")))))</f>
        <v>PROPOSTA FORA DOS LIMITES</v>
      </c>
      <c r="S106" s="45">
        <f t="shared" si="14"/>
        <v>0</v>
      </c>
      <c r="T106" s="166"/>
      <c r="U106" s="169"/>
    </row>
    <row r="107" spans="1:22" ht="19.899999999999999" customHeight="1" thickTop="1" thickBot="1" x14ac:dyDescent="0.25">
      <c r="A107" s="176" t="s">
        <v>538</v>
      </c>
      <c r="B107" s="188" t="s">
        <v>145</v>
      </c>
      <c r="C107" s="119"/>
      <c r="D107" s="103"/>
      <c r="E107" s="58"/>
      <c r="F107" s="8" t="s">
        <v>749</v>
      </c>
      <c r="G107" s="19" t="s">
        <v>748</v>
      </c>
      <c r="H107" s="16" t="s">
        <v>747</v>
      </c>
      <c r="I107" s="91">
        <v>0.55000000000000004</v>
      </c>
      <c r="J107" s="21">
        <v>16.59</v>
      </c>
      <c r="K107" s="21">
        <f>J107/E108</f>
        <v>0.10177914110429448</v>
      </c>
      <c r="L107" s="21">
        <f t="shared" si="20"/>
        <v>0.65177914110429458</v>
      </c>
      <c r="M107" s="170">
        <f>_xlfn.STDEV.S(L107:L109)</f>
        <v>0.12712460298623016</v>
      </c>
      <c r="N107" s="170">
        <f>(SUM(L107:L109))/((IF(L107=0,0,1))+(IF(L108=0,0,1))+(IF(L109=0,0,1)))</f>
        <v>0.50877300613496945</v>
      </c>
      <c r="O107" s="173">
        <f>M107/N107</f>
        <v>0.24986507038171363</v>
      </c>
      <c r="P107" s="37"/>
      <c r="Q107" s="37"/>
      <c r="R107" s="38" t="str">
        <f>IF(O107&lt;0.25,"PROPOSTA VÁLIDA",((IF(L107&gt;P108,"PROPOSTA FORA DOS LIMITES",IF(L107&lt;Q108,"PROPOSTA FORA DOS LIMITES","PROPOSTA VÁLIDA")))))</f>
        <v>PROPOSTA VÁLIDA</v>
      </c>
      <c r="S107" s="38">
        <f t="shared" si="14"/>
        <v>0.65177914110429458</v>
      </c>
      <c r="T107" s="164">
        <f>IF(O107&lt;0.25,AVERAGE(S107:S109),((IF(L107&gt;P108,0,IF(L107&lt;Q108,0,L107)))+(IF(L108&gt;P108,0,IF(L108&lt;Q108,0,L108)))+(IF(L109&gt;P108,0,IF(L109&lt;Q108,0,L109))))/(((IF(L107&gt;P108,0,IF(L107&lt;Q108,0,1))))+((IF(L108&gt;P108,0,IF(L108&lt;Q108,0,1))))+((IF(L109&gt;P108,0,IF(L109&lt;Q108,0,1))))))</f>
        <v>0.50877300613496945</v>
      </c>
      <c r="U107" s="167">
        <f>IFERROR(T107*E108,"")</f>
        <v>82.930000000000021</v>
      </c>
    </row>
    <row r="108" spans="1:22" ht="19.899999999999999" customHeight="1" thickTop="1" x14ac:dyDescent="0.2">
      <c r="A108" s="177"/>
      <c r="B108" s="189"/>
      <c r="C108" s="120" t="s">
        <v>600</v>
      </c>
      <c r="D108" s="104" t="s">
        <v>737</v>
      </c>
      <c r="E108" s="59">
        <v>163</v>
      </c>
      <c r="F108" s="10" t="s">
        <v>42</v>
      </c>
      <c r="G108" s="11" t="s">
        <v>43</v>
      </c>
      <c r="H108" s="12" t="s">
        <v>146</v>
      </c>
      <c r="I108" s="92">
        <v>0.34</v>
      </c>
      <c r="J108" s="20">
        <v>20.53</v>
      </c>
      <c r="K108" s="20">
        <f>J108/E108</f>
        <v>0.12595092024539878</v>
      </c>
      <c r="L108" s="20">
        <f t="shared" si="20"/>
        <v>0.4659509202453988</v>
      </c>
      <c r="M108" s="171"/>
      <c r="N108" s="171"/>
      <c r="O108" s="174"/>
      <c r="P108" s="40" t="str">
        <f>IF(O107&gt;=0.25,N107+M107,"CV&lt;25%")</f>
        <v>CV&lt;25%</v>
      </c>
      <c r="Q108" s="40" t="str">
        <f>IF(O107&gt;=0.25,N107-M107,"CV&lt;25%")</f>
        <v>CV&lt;25%</v>
      </c>
      <c r="R108" s="41" t="str">
        <f>IF(O107&lt;0.25,"PROPOSTA VÁLIDA",((IF(L108&gt;P108,"PROPOSTA FORA DOS LIMITES",IF(L108&lt;Q108,"PROPOSTA FORA DOS LIMITES","PROPOSTA VÁLIDA")))))</f>
        <v>PROPOSTA VÁLIDA</v>
      </c>
      <c r="S108" s="41">
        <f t="shared" si="14"/>
        <v>0.4659509202453988</v>
      </c>
      <c r="T108" s="165"/>
      <c r="U108" s="168"/>
      <c r="V108" s="13"/>
    </row>
    <row r="109" spans="1:22" ht="19.899999999999999" customHeight="1" thickBot="1" x14ac:dyDescent="0.25">
      <c r="A109" s="178"/>
      <c r="B109" s="190"/>
      <c r="C109" s="121"/>
      <c r="D109" s="111"/>
      <c r="E109" s="60"/>
      <c r="F109" s="14" t="s">
        <v>68</v>
      </c>
      <c r="G109" s="15" t="s">
        <v>54</v>
      </c>
      <c r="H109" s="16" t="s">
        <v>147</v>
      </c>
      <c r="I109" s="93">
        <v>0.27</v>
      </c>
      <c r="J109" s="43">
        <v>22.59</v>
      </c>
      <c r="K109" s="43">
        <f>J109/E108</f>
        <v>0.13858895705521473</v>
      </c>
      <c r="L109" s="43">
        <f t="shared" si="20"/>
        <v>0.40858895705521475</v>
      </c>
      <c r="M109" s="172"/>
      <c r="N109" s="172"/>
      <c r="O109" s="175"/>
      <c r="P109" s="44"/>
      <c r="Q109" s="44"/>
      <c r="R109" s="45" t="str">
        <f>IF(O107&lt;0.25,"PROPOSTA VÁLIDA",((IF(L109&gt;P108,"PROPOSTA FORA DOS LIMITES",IF(L109&lt;Q108,"PROPOSTA FORA DOS LIMITES","PROPOSTA VÁLIDA")))))</f>
        <v>PROPOSTA VÁLIDA</v>
      </c>
      <c r="S109" s="45">
        <f t="shared" si="14"/>
        <v>0.40858895705521475</v>
      </c>
      <c r="T109" s="166"/>
      <c r="U109" s="169"/>
    </row>
    <row r="110" spans="1:22" ht="19.899999999999999" customHeight="1" thickTop="1" x14ac:dyDescent="0.2">
      <c r="A110" s="176" t="s">
        <v>560</v>
      </c>
      <c r="B110" s="188" t="s">
        <v>152</v>
      </c>
      <c r="C110" s="98"/>
      <c r="D110" s="198" t="s">
        <v>750</v>
      </c>
      <c r="E110" s="58"/>
      <c r="F110" s="8" t="s">
        <v>153</v>
      </c>
      <c r="G110" s="19" t="s">
        <v>70</v>
      </c>
      <c r="H110" s="22" t="s">
        <v>154</v>
      </c>
      <c r="I110" s="136"/>
      <c r="J110" s="125"/>
      <c r="K110" s="125"/>
      <c r="L110" s="125"/>
      <c r="M110" s="185"/>
      <c r="N110" s="185"/>
      <c r="O110" s="192"/>
      <c r="P110" s="113"/>
      <c r="Q110" s="113"/>
      <c r="R110" s="114"/>
      <c r="S110" s="114"/>
      <c r="T110" s="185"/>
      <c r="U110" s="201"/>
    </row>
    <row r="111" spans="1:22" ht="19.899999999999999" customHeight="1" x14ac:dyDescent="0.2">
      <c r="A111" s="177"/>
      <c r="B111" s="189"/>
      <c r="C111" s="109" t="s">
        <v>737</v>
      </c>
      <c r="D111" s="199"/>
      <c r="E111" s="59">
        <v>1</v>
      </c>
      <c r="F111" s="10" t="s">
        <v>155</v>
      </c>
      <c r="G111" s="11" t="s">
        <v>156</v>
      </c>
      <c r="H111" s="12" t="s">
        <v>157</v>
      </c>
      <c r="I111" s="126"/>
      <c r="J111" s="126"/>
      <c r="K111" s="126"/>
      <c r="L111" s="126"/>
      <c r="M111" s="186"/>
      <c r="N111" s="186"/>
      <c r="O111" s="193"/>
      <c r="P111" s="115"/>
      <c r="Q111" s="115"/>
      <c r="R111" s="116"/>
      <c r="S111" s="116"/>
      <c r="T111" s="186"/>
      <c r="U111" s="202"/>
      <c r="V111" s="13"/>
    </row>
    <row r="112" spans="1:22" ht="19.899999999999999" customHeight="1" thickBot="1" x14ac:dyDescent="0.25">
      <c r="A112" s="178"/>
      <c r="B112" s="190"/>
      <c r="C112" s="99"/>
      <c r="D112" s="200"/>
      <c r="E112" s="60"/>
      <c r="F112" s="14" t="s">
        <v>273</v>
      </c>
      <c r="G112" s="15" t="s">
        <v>274</v>
      </c>
      <c r="H112" s="16" t="s">
        <v>272</v>
      </c>
      <c r="I112" s="127"/>
      <c r="J112" s="127"/>
      <c r="K112" s="127"/>
      <c r="L112" s="127"/>
      <c r="M112" s="187"/>
      <c r="N112" s="187"/>
      <c r="O112" s="194"/>
      <c r="P112" s="117"/>
      <c r="Q112" s="117"/>
      <c r="R112" s="118"/>
      <c r="S112" s="118"/>
      <c r="T112" s="187"/>
      <c r="U112" s="203"/>
    </row>
    <row r="113" spans="1:23" ht="19.899999999999999" customHeight="1" thickTop="1" x14ac:dyDescent="0.2">
      <c r="A113" s="176" t="s">
        <v>567</v>
      </c>
      <c r="B113" s="188" t="s">
        <v>158</v>
      </c>
      <c r="C113" s="119"/>
      <c r="D113" s="103"/>
      <c r="E113" s="58"/>
      <c r="F113" s="8" t="s">
        <v>265</v>
      </c>
      <c r="G113" s="19" t="s">
        <v>266</v>
      </c>
      <c r="H113" s="22" t="s">
        <v>264</v>
      </c>
      <c r="I113" s="91">
        <v>58</v>
      </c>
      <c r="J113" s="21">
        <v>28.53</v>
      </c>
      <c r="K113" s="21">
        <f>J113/E114</f>
        <v>9.51</v>
      </c>
      <c r="L113" s="21">
        <f>I113+K113</f>
        <v>67.510000000000005</v>
      </c>
      <c r="M113" s="170">
        <f>_xlfn.STDEV.S(L113:L115)</f>
        <v>6.4493341602921435</v>
      </c>
      <c r="N113" s="170">
        <f>(SUM(L113:L115))/((IF(L113=0,0,1))+(IF(L114=0,0,1))+(IF(L115=0,0,1)))</f>
        <v>60.196666666666665</v>
      </c>
      <c r="O113" s="173">
        <f>M113/N113</f>
        <v>0.10713772900424404</v>
      </c>
      <c r="P113" s="37"/>
      <c r="Q113" s="37"/>
      <c r="R113" s="38" t="str">
        <f>IF(O113&lt;0.25,"PROPOSTA VÁLIDA",((IF(L113&gt;P114,"PROPOSTA FORA DOS LIMITES",IF(L113&lt;Q114,"PROPOSTA FORA DOS LIMITES","PROPOSTA VÁLIDA")))))</f>
        <v>PROPOSTA VÁLIDA</v>
      </c>
      <c r="S113" s="38">
        <f t="shared" ref="S113:S115" si="21">(IF(R113="PROPOSTA VÁLIDA",L113,0))</f>
        <v>67.510000000000005</v>
      </c>
      <c r="T113" s="164">
        <f>IF(O113&lt;0.25,AVERAGE(S113:S115),((IF(L113&gt;P114,0,IF(L113&lt;Q114,0,L113)))+(IF(L114&gt;P114,0,IF(L114&lt;Q114,0,L114)))+(IF(L115&gt;P114,0,IF(L115&lt;Q114,0,L115))))/(((IF(L113&gt;P114,0,IF(L113&lt;Q114,0,1))))+((IF(L114&gt;P114,0,IF(L114&lt;Q114,0,1))))+((IF(L115&gt;P114,0,IF(L115&lt;Q114,0,1))))))</f>
        <v>60.196666666666665</v>
      </c>
      <c r="U113" s="167">
        <f>IFERROR(T113*E114,"")</f>
        <v>180.59</v>
      </c>
    </row>
    <row r="114" spans="1:23" ht="19.899999999999999" customHeight="1" x14ac:dyDescent="0.2">
      <c r="A114" s="177"/>
      <c r="B114" s="189"/>
      <c r="C114" s="120" t="s">
        <v>597</v>
      </c>
      <c r="D114" s="104" t="s">
        <v>737</v>
      </c>
      <c r="E114" s="59">
        <v>3</v>
      </c>
      <c r="F114" s="10" t="s">
        <v>269</v>
      </c>
      <c r="G114" s="11" t="s">
        <v>268</v>
      </c>
      <c r="H114" s="12" t="s">
        <v>267</v>
      </c>
      <c r="I114" s="92">
        <v>51</v>
      </c>
      <c r="J114" s="20">
        <v>20.27</v>
      </c>
      <c r="K114" s="20">
        <f>J114/E114</f>
        <v>6.7566666666666668</v>
      </c>
      <c r="L114" s="20">
        <f>I114+K114</f>
        <v>57.756666666666668</v>
      </c>
      <c r="M114" s="171"/>
      <c r="N114" s="171"/>
      <c r="O114" s="174"/>
      <c r="P114" s="40" t="str">
        <f>IF(O113&gt;=0.25,N113+M113,"CV&lt;25%")</f>
        <v>CV&lt;25%</v>
      </c>
      <c r="Q114" s="40" t="str">
        <f>IF(O113&gt;=0.25,N113-M113,"CV&lt;25%")</f>
        <v>CV&lt;25%</v>
      </c>
      <c r="R114" s="41" t="str">
        <f>IF(O113&lt;0.25,"PROPOSTA VÁLIDA",((IF(L114&gt;P114,"PROPOSTA FORA DOS LIMITES",IF(L114&lt;Q114,"PROPOSTA FORA DOS LIMITES","PROPOSTA VÁLIDA")))))</f>
        <v>PROPOSTA VÁLIDA</v>
      </c>
      <c r="S114" s="41">
        <f t="shared" si="21"/>
        <v>57.756666666666668</v>
      </c>
      <c r="T114" s="165"/>
      <c r="U114" s="168"/>
      <c r="V114" s="13"/>
    </row>
    <row r="115" spans="1:23" ht="19.899999999999999" customHeight="1" thickBot="1" x14ac:dyDescent="0.25">
      <c r="A115" s="178"/>
      <c r="B115" s="190"/>
      <c r="C115" s="121"/>
      <c r="D115" s="111"/>
      <c r="E115" s="60"/>
      <c r="F115" s="14" t="s">
        <v>270</v>
      </c>
      <c r="G115" s="15" t="s">
        <v>271</v>
      </c>
      <c r="H115" s="12" t="s">
        <v>751</v>
      </c>
      <c r="I115" s="93">
        <v>48</v>
      </c>
      <c r="J115" s="43">
        <v>21.97</v>
      </c>
      <c r="K115" s="43">
        <f>J115/E114</f>
        <v>7.3233333333333333</v>
      </c>
      <c r="L115" s="43">
        <f>I115+K115</f>
        <v>55.323333333333331</v>
      </c>
      <c r="M115" s="172"/>
      <c r="N115" s="172"/>
      <c r="O115" s="175"/>
      <c r="P115" s="44"/>
      <c r="Q115" s="44"/>
      <c r="R115" s="45" t="str">
        <f>IF(O113&lt;0.25,"PROPOSTA VÁLIDA",((IF(L115&gt;P114,"PROPOSTA FORA DOS LIMITES",IF(L115&lt;Q114,"PROPOSTA FORA DOS LIMITES","PROPOSTA VÁLIDA")))))</f>
        <v>PROPOSTA VÁLIDA</v>
      </c>
      <c r="S115" s="45">
        <f t="shared" si="21"/>
        <v>55.323333333333331</v>
      </c>
      <c r="T115" s="166"/>
      <c r="U115" s="169"/>
    </row>
    <row r="116" spans="1:23" ht="19.899999999999999" customHeight="1" thickTop="1" x14ac:dyDescent="0.2">
      <c r="A116" s="176" t="s">
        <v>568</v>
      </c>
      <c r="B116" s="188" t="s">
        <v>159</v>
      </c>
      <c r="C116" s="98"/>
      <c r="D116" s="198" t="s">
        <v>752</v>
      </c>
      <c r="E116" s="58"/>
      <c r="F116" s="8" t="s">
        <v>40</v>
      </c>
      <c r="G116" s="19" t="s">
        <v>41</v>
      </c>
      <c r="H116" s="22" t="s">
        <v>160</v>
      </c>
      <c r="I116" s="136"/>
      <c r="J116" s="125"/>
      <c r="K116" s="125"/>
      <c r="L116" s="125"/>
      <c r="M116" s="185"/>
      <c r="N116" s="185"/>
      <c r="O116" s="192"/>
      <c r="P116" s="113"/>
      <c r="Q116" s="113"/>
      <c r="R116" s="114"/>
      <c r="S116" s="114"/>
      <c r="T116" s="185"/>
      <c r="U116" s="167">
        <f>IFERROR(T116*E117,"")</f>
        <v>0</v>
      </c>
    </row>
    <row r="117" spans="1:23" ht="19.899999999999999" customHeight="1" x14ac:dyDescent="0.2">
      <c r="A117" s="177"/>
      <c r="B117" s="189"/>
      <c r="C117" s="109" t="s">
        <v>737</v>
      </c>
      <c r="D117" s="199"/>
      <c r="E117" s="59">
        <v>111</v>
      </c>
      <c r="F117" s="10" t="s">
        <v>191</v>
      </c>
      <c r="G117" s="11" t="s">
        <v>276</v>
      </c>
      <c r="H117" s="12" t="s">
        <v>275</v>
      </c>
      <c r="I117" s="126"/>
      <c r="J117" s="126"/>
      <c r="K117" s="126"/>
      <c r="L117" s="126"/>
      <c r="M117" s="186"/>
      <c r="N117" s="186"/>
      <c r="O117" s="193"/>
      <c r="P117" s="115"/>
      <c r="Q117" s="115"/>
      <c r="R117" s="116"/>
      <c r="S117" s="116"/>
      <c r="T117" s="186"/>
      <c r="U117" s="168"/>
      <c r="V117" s="13"/>
    </row>
    <row r="118" spans="1:23" ht="19.899999999999999" customHeight="1" thickBot="1" x14ac:dyDescent="0.25">
      <c r="A118" s="178"/>
      <c r="B118" s="190"/>
      <c r="C118" s="99"/>
      <c r="D118" s="200"/>
      <c r="E118" s="60"/>
      <c r="F118" s="14" t="s">
        <v>161</v>
      </c>
      <c r="G118" s="15" t="s">
        <v>162</v>
      </c>
      <c r="H118" s="16" t="s">
        <v>163</v>
      </c>
      <c r="I118" s="127"/>
      <c r="J118" s="127"/>
      <c r="K118" s="127"/>
      <c r="L118" s="127"/>
      <c r="M118" s="187"/>
      <c r="N118" s="187"/>
      <c r="O118" s="194"/>
      <c r="P118" s="117"/>
      <c r="Q118" s="117"/>
      <c r="R118" s="118"/>
      <c r="S118" s="118"/>
      <c r="T118" s="187"/>
      <c r="U118" s="169"/>
    </row>
    <row r="119" spans="1:23" ht="19.899999999999999" customHeight="1" thickTop="1" x14ac:dyDescent="0.2">
      <c r="A119" s="176" t="s">
        <v>531</v>
      </c>
      <c r="B119" s="188" t="s">
        <v>164</v>
      </c>
      <c r="C119" s="98"/>
      <c r="D119" s="198" t="s">
        <v>753</v>
      </c>
      <c r="E119" s="58"/>
      <c r="F119" s="8" t="s">
        <v>165</v>
      </c>
      <c r="G119" s="19" t="s">
        <v>166</v>
      </c>
      <c r="H119" s="22" t="s">
        <v>167</v>
      </c>
      <c r="I119" s="136"/>
      <c r="J119" s="125"/>
      <c r="K119" s="125"/>
      <c r="L119" s="125"/>
      <c r="M119" s="185"/>
      <c r="N119" s="185"/>
      <c r="O119" s="192"/>
      <c r="P119" s="113"/>
      <c r="Q119" s="113"/>
      <c r="R119" s="114"/>
      <c r="S119" s="114"/>
      <c r="T119" s="185"/>
      <c r="U119" s="167">
        <f>IFERROR(T119*E120,"")</f>
        <v>0</v>
      </c>
    </row>
    <row r="120" spans="1:23" ht="19.899999999999999" customHeight="1" x14ac:dyDescent="0.2">
      <c r="A120" s="177"/>
      <c r="B120" s="189"/>
      <c r="C120" s="109" t="s">
        <v>737</v>
      </c>
      <c r="D120" s="199"/>
      <c r="E120" s="59">
        <v>24</v>
      </c>
      <c r="F120" s="10" t="s">
        <v>148</v>
      </c>
      <c r="G120" s="11" t="s">
        <v>149</v>
      </c>
      <c r="H120" s="12" t="s">
        <v>168</v>
      </c>
      <c r="I120" s="126"/>
      <c r="J120" s="126"/>
      <c r="K120" s="126"/>
      <c r="L120" s="126"/>
      <c r="M120" s="186"/>
      <c r="N120" s="186"/>
      <c r="O120" s="193"/>
      <c r="P120" s="115"/>
      <c r="Q120" s="115"/>
      <c r="R120" s="116"/>
      <c r="S120" s="116"/>
      <c r="T120" s="186"/>
      <c r="U120" s="168"/>
      <c r="V120" s="13"/>
    </row>
    <row r="121" spans="1:23" ht="19.899999999999999" customHeight="1" thickBot="1" x14ac:dyDescent="0.25">
      <c r="A121" s="178"/>
      <c r="B121" s="190"/>
      <c r="C121" s="99"/>
      <c r="D121" s="200"/>
      <c r="E121" s="60"/>
      <c r="F121" s="14" t="s">
        <v>61</v>
      </c>
      <c r="G121" s="15" t="s">
        <v>278</v>
      </c>
      <c r="H121" s="16" t="s">
        <v>277</v>
      </c>
      <c r="I121" s="127"/>
      <c r="J121" s="127"/>
      <c r="K121" s="127"/>
      <c r="L121" s="127"/>
      <c r="M121" s="187"/>
      <c r="N121" s="187"/>
      <c r="O121" s="194"/>
      <c r="P121" s="117"/>
      <c r="Q121" s="117"/>
      <c r="R121" s="118"/>
      <c r="S121" s="118"/>
      <c r="T121" s="187"/>
      <c r="U121" s="169"/>
    </row>
    <row r="122" spans="1:23" ht="19.899999999999999" customHeight="1" thickTop="1" x14ac:dyDescent="0.2">
      <c r="A122" s="176" t="s">
        <v>532</v>
      </c>
      <c r="B122" s="188" t="s">
        <v>169</v>
      </c>
      <c r="C122" s="98"/>
      <c r="D122" s="198" t="s">
        <v>754</v>
      </c>
      <c r="E122" s="58"/>
      <c r="F122" s="8" t="s">
        <v>170</v>
      </c>
      <c r="G122" s="19" t="s">
        <v>171</v>
      </c>
      <c r="H122" s="22" t="s">
        <v>172</v>
      </c>
      <c r="I122" s="136"/>
      <c r="J122" s="125"/>
      <c r="K122" s="125"/>
      <c r="L122" s="125"/>
      <c r="M122" s="185"/>
      <c r="N122" s="185"/>
      <c r="O122" s="192"/>
      <c r="P122" s="113"/>
      <c r="Q122" s="113"/>
      <c r="R122" s="114"/>
      <c r="S122" s="114"/>
      <c r="T122" s="185"/>
      <c r="U122" s="167">
        <f>IFERROR(T122*E123,"")</f>
        <v>0</v>
      </c>
    </row>
    <row r="123" spans="1:23" ht="19.899999999999999" customHeight="1" x14ac:dyDescent="0.2">
      <c r="A123" s="177"/>
      <c r="B123" s="189"/>
      <c r="C123" s="109" t="s">
        <v>737</v>
      </c>
      <c r="D123" s="199"/>
      <c r="E123" s="59">
        <v>96</v>
      </c>
      <c r="F123" s="10" t="s">
        <v>84</v>
      </c>
      <c r="G123" s="11" t="s">
        <v>85</v>
      </c>
      <c r="H123" s="12" t="s">
        <v>173</v>
      </c>
      <c r="I123" s="126"/>
      <c r="J123" s="126"/>
      <c r="K123" s="126"/>
      <c r="L123" s="126"/>
      <c r="M123" s="186"/>
      <c r="N123" s="186"/>
      <c r="O123" s="193"/>
      <c r="P123" s="115"/>
      <c r="Q123" s="115"/>
      <c r="R123" s="116"/>
      <c r="S123" s="116"/>
      <c r="T123" s="186"/>
      <c r="U123" s="168"/>
      <c r="V123" s="13"/>
    </row>
    <row r="124" spans="1:23" ht="19.899999999999999" customHeight="1" thickBot="1" x14ac:dyDescent="0.25">
      <c r="A124" s="178"/>
      <c r="B124" s="190"/>
      <c r="C124" s="99"/>
      <c r="D124" s="200"/>
      <c r="E124" s="60"/>
      <c r="F124" s="14" t="s">
        <v>174</v>
      </c>
      <c r="G124" s="15" t="s">
        <v>129</v>
      </c>
      <c r="H124" s="16" t="s">
        <v>175</v>
      </c>
      <c r="I124" s="127"/>
      <c r="J124" s="127"/>
      <c r="K124" s="127"/>
      <c r="L124" s="127"/>
      <c r="M124" s="187"/>
      <c r="N124" s="187"/>
      <c r="O124" s="194"/>
      <c r="P124" s="117"/>
      <c r="Q124" s="117"/>
      <c r="R124" s="118"/>
      <c r="S124" s="118"/>
      <c r="T124" s="187"/>
      <c r="U124" s="169"/>
    </row>
    <row r="125" spans="1:23" ht="19.899999999999999" customHeight="1" thickTop="1" x14ac:dyDescent="0.2">
      <c r="A125" s="176" t="s">
        <v>533</v>
      </c>
      <c r="B125" s="188" t="s">
        <v>176</v>
      </c>
      <c r="C125" s="98"/>
      <c r="D125" s="198" t="s">
        <v>755</v>
      </c>
      <c r="E125" s="58"/>
      <c r="F125" s="8" t="s">
        <v>40</v>
      </c>
      <c r="G125" s="19" t="s">
        <v>41</v>
      </c>
      <c r="H125" s="22" t="s">
        <v>279</v>
      </c>
      <c r="I125" s="136"/>
      <c r="J125" s="125"/>
      <c r="K125" s="125"/>
      <c r="L125" s="125"/>
      <c r="M125" s="185"/>
      <c r="N125" s="185"/>
      <c r="O125" s="192"/>
      <c r="P125" s="113"/>
      <c r="Q125" s="113"/>
      <c r="R125" s="114"/>
      <c r="S125" s="114"/>
      <c r="T125" s="185"/>
      <c r="U125" s="167">
        <f>IFERROR(T125*E126,"")</f>
        <v>0</v>
      </c>
    </row>
    <row r="126" spans="1:23" ht="19.899999999999999" customHeight="1" x14ac:dyDescent="0.2">
      <c r="A126" s="177"/>
      <c r="B126" s="189"/>
      <c r="C126" s="109" t="s">
        <v>737</v>
      </c>
      <c r="D126" s="199"/>
      <c r="E126" s="59">
        <v>166</v>
      </c>
      <c r="F126" s="10" t="s">
        <v>170</v>
      </c>
      <c r="G126" s="11" t="s">
        <v>177</v>
      </c>
      <c r="H126" s="12" t="s">
        <v>178</v>
      </c>
      <c r="I126" s="126"/>
      <c r="J126" s="126"/>
      <c r="K126" s="126"/>
      <c r="L126" s="126"/>
      <c r="M126" s="186"/>
      <c r="N126" s="186"/>
      <c r="O126" s="193"/>
      <c r="P126" s="115"/>
      <c r="Q126" s="115"/>
      <c r="R126" s="116"/>
      <c r="S126" s="116"/>
      <c r="T126" s="186"/>
      <c r="U126" s="168"/>
      <c r="V126" s="13"/>
    </row>
    <row r="127" spans="1:23" ht="19.899999999999999" customHeight="1" thickBot="1" x14ac:dyDescent="0.25">
      <c r="A127" s="178"/>
      <c r="B127" s="190"/>
      <c r="C127" s="99"/>
      <c r="D127" s="200"/>
      <c r="E127" s="60"/>
      <c r="F127" s="14" t="s">
        <v>74</v>
      </c>
      <c r="G127" s="15" t="s">
        <v>75</v>
      </c>
      <c r="H127" s="16" t="s">
        <v>179</v>
      </c>
      <c r="I127" s="127"/>
      <c r="J127" s="127"/>
      <c r="K127" s="127"/>
      <c r="L127" s="127"/>
      <c r="M127" s="187"/>
      <c r="N127" s="187"/>
      <c r="O127" s="194"/>
      <c r="P127" s="117"/>
      <c r="Q127" s="117"/>
      <c r="R127" s="118"/>
      <c r="S127" s="118"/>
      <c r="T127" s="187"/>
      <c r="U127" s="169"/>
    </row>
    <row r="128" spans="1:23" ht="19.899999999999999" customHeight="1" thickTop="1" thickBot="1" x14ac:dyDescent="0.25">
      <c r="A128" s="176" t="s">
        <v>534</v>
      </c>
      <c r="B128" s="188" t="s">
        <v>617</v>
      </c>
      <c r="C128" s="123"/>
      <c r="D128" s="103"/>
      <c r="E128" s="58"/>
      <c r="F128" s="8" t="s">
        <v>757</v>
      </c>
      <c r="G128" s="19" t="s">
        <v>758</v>
      </c>
      <c r="H128" s="22" t="s">
        <v>759</v>
      </c>
      <c r="I128" s="91">
        <v>168.08</v>
      </c>
      <c r="J128" s="21">
        <v>126.48</v>
      </c>
      <c r="K128" s="21">
        <f>J128/E129</f>
        <v>0.74399999999999999</v>
      </c>
      <c r="L128" s="21">
        <f t="shared" ref="L128:L142" si="22">I128+K128</f>
        <v>168.82400000000001</v>
      </c>
      <c r="M128" s="170">
        <f>_xlfn.STDEV.S(L128:L130)</f>
        <v>34.729327504746621</v>
      </c>
      <c r="N128" s="170">
        <f>(SUM(L128:L130))/((IF(L128=0,0,1))+(IF(L129=0,0,1))+(IF(L130=0,0,1)))</f>
        <v>175.66325490196081</v>
      </c>
      <c r="O128" s="173">
        <f>M128/N128</f>
        <v>0.19770399634305627</v>
      </c>
      <c r="P128" s="37"/>
      <c r="Q128" s="37"/>
      <c r="R128" s="38" t="str">
        <f>IF(O128&lt;0.25,"PROPOSTA VÁLIDA",((IF(L128&gt;P129,"PROPOSTA FORA DOS LIMITES",IF(L128&lt;Q129,"PROPOSTA FORA DOS LIMITES","PROPOSTA VÁLIDA")))))</f>
        <v>PROPOSTA VÁLIDA</v>
      </c>
      <c r="S128" s="38">
        <f t="shared" ref="S128:S160" si="23">(IF(R128="PROPOSTA VÁLIDA",L128,0))</f>
        <v>168.82400000000001</v>
      </c>
      <c r="T128" s="164">
        <f>IF(O128&lt;0.25,AVERAGE(S128:S130),((IF(L128&gt;P129,0,IF(L128&lt;Q129,0,L128)))+(IF(L129&gt;P129,0,IF(L129&lt;Q129,0,L129)))+(IF(L130&gt;P129,0,IF(L130&lt;Q129,0,L130))))/(((IF(L128&gt;P129,0,IF(L128&lt;Q129,0,1))))+((IF(L129&gt;P129,0,IF(L129&lt;Q129,0,1))))+((IF(L130&gt;P129,0,IF(L130&lt;Q129,0,1))))))</f>
        <v>175.66325490196081</v>
      </c>
      <c r="U128" s="167">
        <f>IFERROR(T128*E129,"")</f>
        <v>29862.753333333338</v>
      </c>
      <c r="W128" s="225"/>
    </row>
    <row r="129" spans="1:23" ht="19.899999999999999" customHeight="1" thickTop="1" x14ac:dyDescent="0.2">
      <c r="A129" s="177"/>
      <c r="B129" s="189"/>
      <c r="C129" s="120" t="s">
        <v>598</v>
      </c>
      <c r="D129" s="104" t="s">
        <v>737</v>
      </c>
      <c r="E129" s="59">
        <v>170</v>
      </c>
      <c r="F129" s="10" t="s">
        <v>762</v>
      </c>
      <c r="G129" s="11" t="s">
        <v>761</v>
      </c>
      <c r="H129" s="22" t="s">
        <v>760</v>
      </c>
      <c r="I129" s="92">
        <v>213.07</v>
      </c>
      <c r="J129" s="20">
        <v>39.68</v>
      </c>
      <c r="K129" s="20">
        <f>J129/E129</f>
        <v>0.23341176470588235</v>
      </c>
      <c r="L129" s="20">
        <f t="shared" si="22"/>
        <v>213.30341176470588</v>
      </c>
      <c r="M129" s="171"/>
      <c r="N129" s="171"/>
      <c r="O129" s="174"/>
      <c r="P129" s="40" t="str">
        <f>IF(O128&gt;=0.25,N128+M128,"CV&lt;25%")</f>
        <v>CV&lt;25%</v>
      </c>
      <c r="Q129" s="40" t="str">
        <f>IF(O128&gt;=0.25,N128-M128,"CV&lt;25%")</f>
        <v>CV&lt;25%</v>
      </c>
      <c r="R129" s="41" t="str">
        <f>IF(O128&lt;0.25,"PROPOSTA VÁLIDA",((IF(L129&gt;P129,"PROPOSTA FORA DOS LIMITES",IF(L129&lt;Q129,"PROPOSTA FORA DOS LIMITES","PROPOSTA VÁLIDA")))))</f>
        <v>PROPOSTA VÁLIDA</v>
      </c>
      <c r="S129" s="41">
        <f t="shared" si="23"/>
        <v>213.30341176470588</v>
      </c>
      <c r="T129" s="165"/>
      <c r="U129" s="168"/>
      <c r="V129" s="13"/>
      <c r="W129" s="225"/>
    </row>
    <row r="130" spans="1:23" ht="19.899999999999999" customHeight="1" thickBot="1" x14ac:dyDescent="0.25">
      <c r="A130" s="178"/>
      <c r="B130" s="190"/>
      <c r="C130" s="121"/>
      <c r="D130" s="111"/>
      <c r="E130" s="60"/>
      <c r="F130" s="14" t="s">
        <v>150</v>
      </c>
      <c r="G130" s="15" t="s">
        <v>151</v>
      </c>
      <c r="H130" s="16" t="s">
        <v>180</v>
      </c>
      <c r="I130" s="93">
        <v>143.97999999999999</v>
      </c>
      <c r="J130" s="43">
        <v>150</v>
      </c>
      <c r="K130" s="43">
        <f>J130/E129</f>
        <v>0.88235294117647056</v>
      </c>
      <c r="L130" s="43">
        <f t="shared" si="22"/>
        <v>144.86235294117645</v>
      </c>
      <c r="M130" s="172"/>
      <c r="N130" s="172"/>
      <c r="O130" s="175"/>
      <c r="P130" s="44"/>
      <c r="Q130" s="44"/>
      <c r="R130" s="45" t="str">
        <f>IF(O128&lt;0.25,"PROPOSTA VÁLIDA",((IF(L130&gt;P129,"PROPOSTA FORA DOS LIMITES",IF(L130&lt;Q129,"PROPOSTA FORA DOS LIMITES","PROPOSTA VÁLIDA")))))</f>
        <v>PROPOSTA VÁLIDA</v>
      </c>
      <c r="S130" s="45">
        <f t="shared" si="23"/>
        <v>144.86235294117645</v>
      </c>
      <c r="T130" s="166"/>
      <c r="U130" s="169"/>
      <c r="W130" s="225"/>
    </row>
    <row r="131" spans="1:23" ht="19.899999999999999" customHeight="1" thickTop="1" x14ac:dyDescent="0.2">
      <c r="A131" s="176" t="s">
        <v>569</v>
      </c>
      <c r="B131" s="188" t="s">
        <v>181</v>
      </c>
      <c r="C131" s="98"/>
      <c r="D131" s="198" t="s">
        <v>756</v>
      </c>
      <c r="E131" s="58"/>
      <c r="F131" s="8" t="s">
        <v>182</v>
      </c>
      <c r="G131" s="19" t="s">
        <v>183</v>
      </c>
      <c r="H131" s="22" t="s">
        <v>184</v>
      </c>
      <c r="I131" s="136"/>
      <c r="J131" s="125"/>
      <c r="K131" s="125"/>
      <c r="L131" s="125"/>
      <c r="M131" s="185"/>
      <c r="N131" s="185"/>
      <c r="O131" s="192"/>
      <c r="P131" s="113"/>
      <c r="Q131" s="113"/>
      <c r="R131" s="114"/>
      <c r="S131" s="114"/>
      <c r="T131" s="185"/>
      <c r="U131" s="185"/>
    </row>
    <row r="132" spans="1:23" ht="19.899999999999999" customHeight="1" x14ac:dyDescent="0.2">
      <c r="A132" s="177"/>
      <c r="B132" s="189"/>
      <c r="C132" s="109" t="s">
        <v>737</v>
      </c>
      <c r="D132" s="199"/>
      <c r="E132" s="59">
        <v>1</v>
      </c>
      <c r="F132" s="10" t="s">
        <v>185</v>
      </c>
      <c r="G132" s="11" t="s">
        <v>186</v>
      </c>
      <c r="H132" s="12" t="s">
        <v>187</v>
      </c>
      <c r="I132" s="126"/>
      <c r="J132" s="126"/>
      <c r="K132" s="126"/>
      <c r="L132" s="126"/>
      <c r="M132" s="186"/>
      <c r="N132" s="186"/>
      <c r="O132" s="193"/>
      <c r="P132" s="115"/>
      <c r="Q132" s="115"/>
      <c r="R132" s="116"/>
      <c r="S132" s="116"/>
      <c r="T132" s="186"/>
      <c r="U132" s="186"/>
      <c r="V132" s="13"/>
    </row>
    <row r="133" spans="1:23" ht="19.899999999999999" customHeight="1" thickBot="1" x14ac:dyDescent="0.25">
      <c r="A133" s="178"/>
      <c r="B133" s="190"/>
      <c r="C133" s="99"/>
      <c r="D133" s="200"/>
      <c r="E133" s="60"/>
      <c r="F133" s="14" t="s">
        <v>188</v>
      </c>
      <c r="G133" s="15" t="s">
        <v>186</v>
      </c>
      <c r="H133" s="16" t="s">
        <v>189</v>
      </c>
      <c r="I133" s="127"/>
      <c r="J133" s="127"/>
      <c r="K133" s="127"/>
      <c r="L133" s="127"/>
      <c r="M133" s="187"/>
      <c r="N133" s="187"/>
      <c r="O133" s="194"/>
      <c r="P133" s="117"/>
      <c r="Q133" s="117"/>
      <c r="R133" s="118"/>
      <c r="S133" s="118"/>
      <c r="T133" s="187"/>
      <c r="U133" s="187"/>
    </row>
    <row r="134" spans="1:23" ht="19.899999999999999" customHeight="1" thickTop="1" x14ac:dyDescent="0.2">
      <c r="A134" s="176" t="s">
        <v>549</v>
      </c>
      <c r="B134" s="188" t="s">
        <v>190</v>
      </c>
      <c r="C134" s="123"/>
      <c r="D134" s="103"/>
      <c r="E134" s="58"/>
      <c r="F134" s="8" t="s">
        <v>873</v>
      </c>
      <c r="G134" s="19" t="s">
        <v>877</v>
      </c>
      <c r="H134" s="22" t="s">
        <v>874</v>
      </c>
      <c r="I134" s="91">
        <v>699</v>
      </c>
      <c r="J134" s="21">
        <v>49.9</v>
      </c>
      <c r="K134" s="21">
        <f>J134/E135</f>
        <v>9.98</v>
      </c>
      <c r="L134" s="21">
        <f t="shared" ref="L134:L136" si="24">I134+K134</f>
        <v>708.98</v>
      </c>
      <c r="M134" s="170">
        <f>_xlfn.STDEV.S(L134:L136)</f>
        <v>90.668229878681444</v>
      </c>
      <c r="N134" s="170">
        <f>(SUM(L134:L136))/((IF(L134=0,0,1))+(IF(L135=0,0,1))+(IF(L136=0,0,1)))</f>
        <v>722.36666666666667</v>
      </c>
      <c r="O134" s="173">
        <f>M134/N134</f>
        <v>0.12551552288129036</v>
      </c>
      <c r="P134" s="37"/>
      <c r="Q134" s="37"/>
      <c r="R134" s="38" t="str">
        <f>IF(O134&lt;0.25,"PROPOSTA VÁLIDA",((IF(L134&gt;P135,"PROPOSTA FORA DOS LIMITES",IF(L134&lt;Q135,"PROPOSTA FORA DOS LIMITES","PROPOSTA VÁLIDA")))))</f>
        <v>PROPOSTA VÁLIDA</v>
      </c>
      <c r="S134" s="38">
        <f t="shared" ref="S134:S136" si="25">(IF(R134="PROPOSTA VÁLIDA",L134,0))</f>
        <v>708.98</v>
      </c>
      <c r="T134" s="164">
        <f>IF(O134&lt;0.25,AVERAGE(S134:S136),((IF(L134&gt;P135,0,IF(L134&lt;Q135,0,L134)))+(IF(L135&gt;P135,0,IF(L135&lt;Q135,0,L135)))+(IF(L136&gt;P135,0,IF(L136&lt;Q135,0,L136))))/(((IF(L134&gt;P135,0,IF(L134&lt;Q135,0,1))))+((IF(L135&gt;P135,0,IF(L135&lt;Q135,0,1))))+((IF(L136&gt;P135,0,IF(L136&lt;Q135,0,1))))))</f>
        <v>722.36666666666667</v>
      </c>
      <c r="U134" s="167">
        <f>IFERROR(T134*E135,"")</f>
        <v>3611.8333333333335</v>
      </c>
    </row>
    <row r="135" spans="1:23" ht="19.899999999999999" customHeight="1" x14ac:dyDescent="0.2">
      <c r="A135" s="177"/>
      <c r="B135" s="189"/>
      <c r="C135" s="120" t="s">
        <v>879</v>
      </c>
      <c r="D135" s="104" t="s">
        <v>737</v>
      </c>
      <c r="E135" s="59">
        <v>5</v>
      </c>
      <c r="F135" s="10" t="s">
        <v>191</v>
      </c>
      <c r="G135" s="11" t="s">
        <v>192</v>
      </c>
      <c r="H135" s="12" t="s">
        <v>193</v>
      </c>
      <c r="I135" s="92">
        <v>803.27</v>
      </c>
      <c r="J135" s="20">
        <v>78.569999999999993</v>
      </c>
      <c r="K135" s="20">
        <f>J135/E135</f>
        <v>15.713999999999999</v>
      </c>
      <c r="L135" s="20">
        <f t="shared" si="24"/>
        <v>818.98399999999992</v>
      </c>
      <c r="M135" s="171"/>
      <c r="N135" s="171"/>
      <c r="O135" s="174"/>
      <c r="P135" s="40" t="str">
        <f>IF(O134&gt;=0.25,N134+M134,"CV&lt;25%")</f>
        <v>CV&lt;25%</v>
      </c>
      <c r="Q135" s="40" t="str">
        <f>IF(O134&gt;=0.25,N134-M134,"CV&lt;25%")</f>
        <v>CV&lt;25%</v>
      </c>
      <c r="R135" s="41" t="str">
        <f>IF(O134&lt;0.25,"PROPOSTA VÁLIDA",((IF(L135&gt;P135,"PROPOSTA FORA DOS LIMITES",IF(L135&lt;Q135,"PROPOSTA FORA DOS LIMITES","PROPOSTA VÁLIDA")))))</f>
        <v>PROPOSTA VÁLIDA</v>
      </c>
      <c r="S135" s="41">
        <f t="shared" si="25"/>
        <v>818.98399999999992</v>
      </c>
      <c r="T135" s="165"/>
      <c r="U135" s="168"/>
      <c r="V135" s="13"/>
    </row>
    <row r="136" spans="1:23" ht="19.899999999999999" customHeight="1" thickBot="1" x14ac:dyDescent="0.25">
      <c r="A136" s="178"/>
      <c r="B136" s="190"/>
      <c r="C136" s="121"/>
      <c r="D136" s="111"/>
      <c r="E136" s="60"/>
      <c r="F136" s="14" t="s">
        <v>875</v>
      </c>
      <c r="G136" s="15" t="s">
        <v>878</v>
      </c>
      <c r="H136" s="16" t="s">
        <v>876</v>
      </c>
      <c r="I136" s="93">
        <v>629.85</v>
      </c>
      <c r="J136" s="43">
        <v>46.43</v>
      </c>
      <c r="K136" s="43">
        <f>J136/E135</f>
        <v>9.2859999999999996</v>
      </c>
      <c r="L136" s="43">
        <f t="shared" si="24"/>
        <v>639.13599999999997</v>
      </c>
      <c r="M136" s="172"/>
      <c r="N136" s="172"/>
      <c r="O136" s="175"/>
      <c r="P136" s="44"/>
      <c r="Q136" s="44"/>
      <c r="R136" s="45" t="str">
        <f>IF(O134&lt;0.25,"PROPOSTA VÁLIDA",((IF(L136&gt;P135,"PROPOSTA FORA DOS LIMITES",IF(L136&lt;Q135,"PROPOSTA FORA DOS LIMITES","PROPOSTA VÁLIDA")))))</f>
        <v>PROPOSTA VÁLIDA</v>
      </c>
      <c r="S136" s="45">
        <f t="shared" si="25"/>
        <v>639.13599999999997</v>
      </c>
      <c r="T136" s="166"/>
      <c r="U136" s="169"/>
    </row>
    <row r="137" spans="1:23" ht="19.899999999999999" customHeight="1" thickTop="1" x14ac:dyDescent="0.2">
      <c r="A137" s="176" t="s">
        <v>561</v>
      </c>
      <c r="B137" s="188" t="s">
        <v>194</v>
      </c>
      <c r="C137" s="98"/>
      <c r="D137" s="198" t="s">
        <v>763</v>
      </c>
      <c r="E137" s="58"/>
      <c r="F137" s="8" t="s">
        <v>195</v>
      </c>
      <c r="G137" s="19" t="s">
        <v>196</v>
      </c>
      <c r="H137" s="22" t="s">
        <v>197</v>
      </c>
      <c r="I137" s="136"/>
      <c r="J137" s="125"/>
      <c r="K137" s="125"/>
      <c r="L137" s="125"/>
      <c r="M137" s="185"/>
      <c r="N137" s="185"/>
      <c r="O137" s="192"/>
      <c r="P137" s="113"/>
      <c r="Q137" s="113"/>
      <c r="R137" s="114"/>
      <c r="S137" s="114"/>
      <c r="T137" s="185"/>
      <c r="U137" s="185"/>
    </row>
    <row r="138" spans="1:23" ht="19.899999999999999" customHeight="1" x14ac:dyDescent="0.2">
      <c r="A138" s="177"/>
      <c r="B138" s="189"/>
      <c r="C138" s="109" t="s">
        <v>737</v>
      </c>
      <c r="D138" s="199"/>
      <c r="E138" s="59">
        <v>8</v>
      </c>
      <c r="F138" s="10" t="s">
        <v>198</v>
      </c>
      <c r="G138" s="11" t="s">
        <v>199</v>
      </c>
      <c r="H138" s="12" t="s">
        <v>200</v>
      </c>
      <c r="I138" s="126"/>
      <c r="J138" s="126"/>
      <c r="K138" s="126"/>
      <c r="L138" s="126"/>
      <c r="M138" s="186"/>
      <c r="N138" s="186"/>
      <c r="O138" s="193"/>
      <c r="P138" s="115"/>
      <c r="Q138" s="115"/>
      <c r="R138" s="116"/>
      <c r="S138" s="116"/>
      <c r="T138" s="186"/>
      <c r="U138" s="186"/>
      <c r="V138" s="13"/>
    </row>
    <row r="139" spans="1:23" ht="19.899999999999999" customHeight="1" thickBot="1" x14ac:dyDescent="0.25">
      <c r="A139" s="178"/>
      <c r="B139" s="190"/>
      <c r="C139" s="99"/>
      <c r="D139" s="200"/>
      <c r="E139" s="60"/>
      <c r="F139" s="14" t="s">
        <v>88</v>
      </c>
      <c r="G139" s="15" t="s">
        <v>89</v>
      </c>
      <c r="H139" s="16" t="s">
        <v>201</v>
      </c>
      <c r="I139" s="127"/>
      <c r="J139" s="127"/>
      <c r="K139" s="127"/>
      <c r="L139" s="127"/>
      <c r="M139" s="187"/>
      <c r="N139" s="187"/>
      <c r="O139" s="194"/>
      <c r="P139" s="117"/>
      <c r="Q139" s="117"/>
      <c r="R139" s="118"/>
      <c r="S139" s="118"/>
      <c r="T139" s="187"/>
      <c r="U139" s="187"/>
    </row>
    <row r="140" spans="1:23" ht="19.899999999999999" customHeight="1" thickTop="1" x14ac:dyDescent="0.2">
      <c r="A140" s="176" t="s">
        <v>599</v>
      </c>
      <c r="B140" s="188" t="s">
        <v>202</v>
      </c>
      <c r="C140" s="119"/>
      <c r="D140" s="103"/>
      <c r="E140" s="58"/>
      <c r="F140" s="8" t="s">
        <v>203</v>
      </c>
      <c r="G140" s="19" t="s">
        <v>204</v>
      </c>
      <c r="H140" s="22" t="s">
        <v>205</v>
      </c>
      <c r="I140" s="91">
        <v>245.84</v>
      </c>
      <c r="J140" s="21">
        <v>0</v>
      </c>
      <c r="K140" s="21">
        <f>J140/E141</f>
        <v>0</v>
      </c>
      <c r="L140" s="21">
        <f t="shared" si="22"/>
        <v>245.84</v>
      </c>
      <c r="M140" s="170">
        <f>_xlfn.STDEV.S(L140:L142)</f>
        <v>147.96834672771527</v>
      </c>
      <c r="N140" s="170">
        <f>(SUM(L140:L142))/((IF(L140=0,0,1))+(IF(L141=0,0,1))+(IF(L142=0,0,1)))</f>
        <v>415.31666666666666</v>
      </c>
      <c r="O140" s="173">
        <f>M140/N140</f>
        <v>0.35627837407853108</v>
      </c>
      <c r="P140" s="37"/>
      <c r="Q140" s="37"/>
      <c r="R140" s="38" t="str">
        <f>IF(O140&lt;0.25,"PROPOSTA VÁLIDA",((IF(L140&gt;P141,"PROPOSTA FORA DOS LIMITES",IF(L140&lt;Q141,"PROPOSTA FORA DOS LIMITES","PROPOSTA VÁLIDA")))))</f>
        <v>PROPOSTA FORA DOS LIMITES</v>
      </c>
      <c r="S140" s="38">
        <f t="shared" si="23"/>
        <v>0</v>
      </c>
      <c r="T140" s="164">
        <f>IF(O140&lt;0.25,AVERAGE(S140:S142),((IF(L140&gt;P141,0,IF(L140&lt;Q141,0,L140)))+(IF(L141&gt;P141,0,IF(L141&lt;Q141,0,L141)))+(IF(L142&gt;P141,0,IF(L142&lt;Q141,0,L142))))/(((IF(L140&gt;P141,0,IF(L140&lt;Q141,0,1))))+((IF(L141&gt;P141,0,IF(L141&lt;Q141,0,1))))+((IF(L142&gt;P141,0,IF(L142&lt;Q141,0,1))))))</f>
        <v>500.05500000000001</v>
      </c>
      <c r="U140" s="167">
        <f>IFERROR(T140*E141,"")</f>
        <v>500.05500000000001</v>
      </c>
    </row>
    <row r="141" spans="1:23" ht="19.899999999999999" customHeight="1" x14ac:dyDescent="0.2">
      <c r="A141" s="177"/>
      <c r="B141" s="189"/>
      <c r="C141" s="120" t="s">
        <v>871</v>
      </c>
      <c r="D141" s="104" t="s">
        <v>737</v>
      </c>
      <c r="E141" s="59">
        <v>1</v>
      </c>
      <c r="F141" s="10" t="s">
        <v>765</v>
      </c>
      <c r="G141" s="11" t="s">
        <v>767</v>
      </c>
      <c r="H141" s="12" t="s">
        <v>766</v>
      </c>
      <c r="I141" s="92">
        <v>459.12</v>
      </c>
      <c r="J141" s="20">
        <v>22.15</v>
      </c>
      <c r="K141" s="20">
        <f>J141/E141</f>
        <v>22.15</v>
      </c>
      <c r="L141" s="20">
        <f t="shared" si="22"/>
        <v>481.27</v>
      </c>
      <c r="M141" s="171"/>
      <c r="N141" s="171"/>
      <c r="O141" s="174"/>
      <c r="P141" s="40">
        <f>IF(O140&gt;=0.25,N140+M140,"CV&lt;25%")</f>
        <v>563.28501339438196</v>
      </c>
      <c r="Q141" s="40">
        <f>IF(O140&gt;=0.25,N140-M140,"CV&lt;25%")</f>
        <v>267.34831993895136</v>
      </c>
      <c r="R141" s="41" t="str">
        <f>IF(O140&lt;0.25,"PROPOSTA VÁLIDA",((IF(L141&gt;P141,"PROPOSTA FORA DOS LIMITES",IF(L141&lt;Q141,"PROPOSTA FORA DOS LIMITES","PROPOSTA VÁLIDA")))))</f>
        <v>PROPOSTA VÁLIDA</v>
      </c>
      <c r="S141" s="41">
        <f t="shared" si="23"/>
        <v>481.27</v>
      </c>
      <c r="T141" s="165"/>
      <c r="U141" s="168"/>
      <c r="V141" s="13"/>
    </row>
    <row r="142" spans="1:23" ht="19.899999999999999" customHeight="1" thickBot="1" x14ac:dyDescent="0.25">
      <c r="A142" s="178"/>
      <c r="B142" s="190"/>
      <c r="C142" s="121"/>
      <c r="D142" s="111"/>
      <c r="E142" s="60"/>
      <c r="F142" s="14" t="s">
        <v>191</v>
      </c>
      <c r="G142" s="15" t="s">
        <v>192</v>
      </c>
      <c r="H142" s="16" t="s">
        <v>280</v>
      </c>
      <c r="I142" s="93">
        <v>460.5</v>
      </c>
      <c r="J142" s="43">
        <v>58.34</v>
      </c>
      <c r="K142" s="43">
        <f>J142/E141</f>
        <v>58.34</v>
      </c>
      <c r="L142" s="43">
        <f t="shared" si="22"/>
        <v>518.84</v>
      </c>
      <c r="M142" s="172"/>
      <c r="N142" s="172"/>
      <c r="O142" s="175"/>
      <c r="P142" s="44"/>
      <c r="Q142" s="44"/>
      <c r="R142" s="45" t="str">
        <f>IF(O140&lt;0.25,"PROPOSTA VÁLIDA",((IF(L142&gt;P141,"PROPOSTA FORA DOS LIMITES",IF(L142&lt;Q141,"PROPOSTA FORA DOS LIMITES","PROPOSTA VÁLIDA")))))</f>
        <v>PROPOSTA VÁLIDA</v>
      </c>
      <c r="S142" s="45">
        <f t="shared" si="23"/>
        <v>518.84</v>
      </c>
      <c r="T142" s="166"/>
      <c r="U142" s="169"/>
    </row>
    <row r="143" spans="1:23" ht="19.899999999999999" customHeight="1" thickTop="1" x14ac:dyDescent="0.2">
      <c r="A143" s="176" t="s">
        <v>570</v>
      </c>
      <c r="B143" s="188" t="s">
        <v>206</v>
      </c>
      <c r="C143" s="98"/>
      <c r="D143" s="198" t="s">
        <v>764</v>
      </c>
      <c r="E143" s="58"/>
      <c r="F143" s="8" t="s">
        <v>285</v>
      </c>
      <c r="G143" s="19" t="s">
        <v>156</v>
      </c>
      <c r="H143" s="22" t="s">
        <v>284</v>
      </c>
      <c r="I143" s="136"/>
      <c r="J143" s="125"/>
      <c r="K143" s="125"/>
      <c r="L143" s="125"/>
      <c r="M143" s="185"/>
      <c r="N143" s="185"/>
      <c r="O143" s="192"/>
      <c r="P143" s="113"/>
      <c r="Q143" s="113"/>
      <c r="R143" s="114"/>
      <c r="S143" s="114"/>
      <c r="T143" s="185"/>
      <c r="U143" s="185"/>
    </row>
    <row r="144" spans="1:23" ht="19.899999999999999" customHeight="1" x14ac:dyDescent="0.2">
      <c r="A144" s="177"/>
      <c r="B144" s="189"/>
      <c r="C144" s="104" t="s">
        <v>737</v>
      </c>
      <c r="D144" s="199"/>
      <c r="E144" s="59">
        <v>2</v>
      </c>
      <c r="F144" s="10" t="s">
        <v>281</v>
      </c>
      <c r="G144" s="11" t="s">
        <v>282</v>
      </c>
      <c r="H144" s="12" t="s">
        <v>283</v>
      </c>
      <c r="I144" s="126"/>
      <c r="J144" s="126"/>
      <c r="K144" s="126"/>
      <c r="L144" s="126"/>
      <c r="M144" s="186"/>
      <c r="N144" s="186"/>
      <c r="O144" s="193"/>
      <c r="P144" s="115"/>
      <c r="Q144" s="115"/>
      <c r="R144" s="116"/>
      <c r="S144" s="116"/>
      <c r="T144" s="186"/>
      <c r="U144" s="186"/>
      <c r="V144" s="13"/>
    </row>
    <row r="145" spans="1:22" ht="19.899999999999999" customHeight="1" thickBot="1" x14ac:dyDescent="0.25">
      <c r="A145" s="178"/>
      <c r="B145" s="190"/>
      <c r="C145" s="99"/>
      <c r="D145" s="200"/>
      <c r="E145" s="60"/>
      <c r="F145" s="14" t="s">
        <v>86</v>
      </c>
      <c r="G145" s="15" t="s">
        <v>87</v>
      </c>
      <c r="H145" s="16" t="s">
        <v>208</v>
      </c>
      <c r="I145" s="127"/>
      <c r="J145" s="127"/>
      <c r="K145" s="127"/>
      <c r="L145" s="127"/>
      <c r="M145" s="187"/>
      <c r="N145" s="187"/>
      <c r="O145" s="194"/>
      <c r="P145" s="117"/>
      <c r="Q145" s="117"/>
      <c r="R145" s="118"/>
      <c r="S145" s="118"/>
      <c r="T145" s="187"/>
      <c r="U145" s="187"/>
    </row>
    <row r="146" spans="1:22" ht="19.899999999999999" customHeight="1" thickTop="1" x14ac:dyDescent="0.2">
      <c r="A146" s="176" t="s">
        <v>557</v>
      </c>
      <c r="B146" s="188" t="s">
        <v>359</v>
      </c>
      <c r="C146" s="198" t="s">
        <v>595</v>
      </c>
      <c r="D146" s="103"/>
      <c r="E146" s="58"/>
      <c r="F146" s="8" t="s">
        <v>215</v>
      </c>
      <c r="G146" s="19" t="s">
        <v>216</v>
      </c>
      <c r="H146" s="22" t="s">
        <v>358</v>
      </c>
      <c r="I146" s="91">
        <v>346.08</v>
      </c>
      <c r="J146" s="21">
        <v>22.41</v>
      </c>
      <c r="K146" s="21">
        <f>J146/E147</f>
        <v>1.0671428571428572</v>
      </c>
      <c r="L146" s="21">
        <f>I146+K146</f>
        <v>347.14714285714285</v>
      </c>
      <c r="M146" s="170">
        <f>_xlfn.STDEV.S(L146:L148)</f>
        <v>25.02486745230215</v>
      </c>
      <c r="N146" s="170">
        <f>(SUM(L146:L148))/((IF(L146=0,0,1))+(IF(L147=0,0,1))+(IF(L148=0,0,1)))</f>
        <v>321.4212698412698</v>
      </c>
      <c r="O146" s="173">
        <f>M146/N146</f>
        <v>7.7856911786392952E-2</v>
      </c>
      <c r="P146" s="37"/>
      <c r="Q146" s="37"/>
      <c r="R146" s="38" t="str">
        <f>IF(O146&lt;0.25,"PROPOSTA VÁLIDA",((IF(L146&gt;P147,"PROPOSTA FORA DOS LIMITES",IF(L146&lt;Q147,"PROPOSTA FORA DOS LIMITES","PROPOSTA VÁLIDA")))))</f>
        <v>PROPOSTA VÁLIDA</v>
      </c>
      <c r="S146" s="38">
        <f>(IF(R146="PROPOSTA VÁLIDA",L146,0))</f>
        <v>347.14714285714285</v>
      </c>
      <c r="T146" s="164">
        <f>IF(O146&lt;0.25,AVERAGE(S146:S148),((IF(L146&gt;P147,0,IF(L146&lt;Q147,0,L146)))+(IF(L147&gt;P147,0,IF(L147&lt;Q147,0,L147)))+(IF(L148&gt;P147,0,IF(L148&lt;Q147,0,L148))))/(((IF(L146&gt;P147,0,IF(L146&lt;Q147,0,1))))+((IF(L147&gt;P147,0,IF(L147&lt;Q147,0,1))))+((IF(L148&gt;P147,0,IF(L148&lt;Q147,0,1))))))</f>
        <v>321.4212698412698</v>
      </c>
      <c r="U146" s="167">
        <f>IFERROR(T146*E147,"")</f>
        <v>6749.8466666666664</v>
      </c>
    </row>
    <row r="147" spans="1:22" ht="19.899999999999999" customHeight="1" x14ac:dyDescent="0.2">
      <c r="A147" s="177"/>
      <c r="B147" s="189"/>
      <c r="C147" s="199"/>
      <c r="D147" s="104" t="s">
        <v>737</v>
      </c>
      <c r="E147" s="59">
        <v>21</v>
      </c>
      <c r="F147" s="10" t="s">
        <v>361</v>
      </c>
      <c r="G147" s="11" t="s">
        <v>513</v>
      </c>
      <c r="H147" s="12" t="s">
        <v>360</v>
      </c>
      <c r="I147" s="92">
        <v>319.05</v>
      </c>
      <c r="J147" s="20">
        <v>19</v>
      </c>
      <c r="K147" s="20">
        <f>J147/E147</f>
        <v>0.90476190476190477</v>
      </c>
      <c r="L147" s="20">
        <f>I147+K147</f>
        <v>319.95476190476194</v>
      </c>
      <c r="M147" s="171"/>
      <c r="N147" s="171"/>
      <c r="O147" s="174"/>
      <c r="P147" s="40" t="str">
        <f>IF(O146&gt;=0.25,N146+M146,"CV&lt;25%")</f>
        <v>CV&lt;25%</v>
      </c>
      <c r="Q147" s="40" t="str">
        <f>IF(O146&gt;=0.25,N146-M146,"CV&lt;25%")</f>
        <v>CV&lt;25%</v>
      </c>
      <c r="R147" s="41" t="str">
        <f>IF(O146&lt;0.25,"PROPOSTA VÁLIDA",((IF(L147&gt;P147,"PROPOSTA FORA DOS LIMITES",IF(L147&lt;Q147,"PROPOSTA FORA DOS LIMITES","PROPOSTA VÁLIDA")))))</f>
        <v>PROPOSTA VÁLIDA</v>
      </c>
      <c r="S147" s="41">
        <f>(IF(R147="PROPOSTA VÁLIDA",L147,0))</f>
        <v>319.95476190476194</v>
      </c>
      <c r="T147" s="165"/>
      <c r="U147" s="168"/>
      <c r="V147" s="13"/>
    </row>
    <row r="148" spans="1:22" ht="19.899999999999999" customHeight="1" thickBot="1" x14ac:dyDescent="0.25">
      <c r="A148" s="178"/>
      <c r="B148" s="190"/>
      <c r="C148" s="200"/>
      <c r="D148" s="111"/>
      <c r="E148" s="60"/>
      <c r="F148" s="14" t="s">
        <v>221</v>
      </c>
      <c r="G148" s="15" t="s">
        <v>222</v>
      </c>
      <c r="H148" s="16" t="s">
        <v>362</v>
      </c>
      <c r="I148" s="93">
        <v>296.20999999999998</v>
      </c>
      <c r="J148" s="43">
        <v>19.989999999999998</v>
      </c>
      <c r="K148" s="43">
        <f>J148/E147</f>
        <v>0.95190476190476181</v>
      </c>
      <c r="L148" s="43">
        <f>I148+K148</f>
        <v>297.16190476190474</v>
      </c>
      <c r="M148" s="172"/>
      <c r="N148" s="172"/>
      <c r="O148" s="175"/>
      <c r="P148" s="44"/>
      <c r="Q148" s="44"/>
      <c r="R148" s="45" t="str">
        <f>IF(O146&lt;0.25,"PROPOSTA VÁLIDA",((IF(L148&gt;P147,"PROPOSTA FORA DOS LIMITES",IF(L148&lt;Q147,"PROPOSTA FORA DOS LIMITES","PROPOSTA VÁLIDA")))))</f>
        <v>PROPOSTA VÁLIDA</v>
      </c>
      <c r="S148" s="45">
        <f>(IF(R148="PROPOSTA VÁLIDA",L148,0))</f>
        <v>297.16190476190474</v>
      </c>
      <c r="T148" s="166"/>
      <c r="U148" s="169"/>
    </row>
    <row r="149" spans="1:22" ht="19.899999999999999" customHeight="1" thickTop="1" x14ac:dyDescent="0.2">
      <c r="A149" s="176" t="s">
        <v>571</v>
      </c>
      <c r="B149" s="188" t="s">
        <v>209</v>
      </c>
      <c r="C149" s="198" t="s">
        <v>545</v>
      </c>
      <c r="D149" s="103"/>
      <c r="E149" s="58"/>
      <c r="F149" s="8" t="s">
        <v>88</v>
      </c>
      <c r="G149" s="19" t="s">
        <v>286</v>
      </c>
      <c r="H149" s="22" t="s">
        <v>287</v>
      </c>
      <c r="I149" s="91">
        <v>2396.73</v>
      </c>
      <c r="J149" s="21">
        <v>30.9</v>
      </c>
      <c r="K149" s="21">
        <f>J149/E150</f>
        <v>15.45</v>
      </c>
      <c r="L149" s="21">
        <f t="shared" ref="L149:L151" si="26">I149+K149</f>
        <v>2412.1799999999998</v>
      </c>
      <c r="M149" s="170">
        <f>_xlfn.STDEV.S(L149:L151)</f>
        <v>314.69182508447869</v>
      </c>
      <c r="N149" s="170">
        <f>(SUM(L149:L151))/((IF(L149=0,0,1))+(IF(L150=0,0,1))+(IF(L151=0,0,1)))</f>
        <v>2698.9250000000002</v>
      </c>
      <c r="O149" s="173">
        <f>M149/N149</f>
        <v>0.11659895146566825</v>
      </c>
      <c r="P149" s="37"/>
      <c r="Q149" s="37"/>
      <c r="R149" s="38" t="str">
        <f>IF(O149&lt;0.25,"PROPOSTA VÁLIDA",((IF(L149&gt;P150,"PROPOSTA FORA DOS LIMITES",IF(L149&lt;Q150,"PROPOSTA FORA DOS LIMITES","PROPOSTA VÁLIDA")))))</f>
        <v>PROPOSTA VÁLIDA</v>
      </c>
      <c r="S149" s="38">
        <f t="shared" si="23"/>
        <v>2412.1799999999998</v>
      </c>
      <c r="T149" s="164">
        <f>IF(O149&lt;0.25,AVERAGE(S149:S151),((IF(L149&gt;P150,0,IF(L149&lt;Q150,0,L149)))+(IF(L150&gt;P150,0,IF(L150&lt;Q150,0,L150)))+(IF(L151&gt;P150,0,IF(L151&lt;Q150,0,L151))))/(((IF(L149&gt;P150,0,IF(L149&lt;Q150,0,1))))+((IF(L150&gt;P150,0,IF(L150&lt;Q150,0,1))))+((IF(L151&gt;P150,0,IF(L151&lt;Q150,0,1))))))</f>
        <v>2698.9250000000002</v>
      </c>
      <c r="U149" s="167">
        <f>IFERROR(T149*E150,"")</f>
        <v>5397.85</v>
      </c>
    </row>
    <row r="150" spans="1:22" ht="19.899999999999999" customHeight="1" x14ac:dyDescent="0.2">
      <c r="A150" s="177"/>
      <c r="B150" s="189"/>
      <c r="C150" s="199"/>
      <c r="D150" s="104" t="s">
        <v>737</v>
      </c>
      <c r="E150" s="59">
        <v>2</v>
      </c>
      <c r="F150" s="10" t="s">
        <v>40</v>
      </c>
      <c r="G150" s="11" t="s">
        <v>289</v>
      </c>
      <c r="H150" s="12" t="s">
        <v>288</v>
      </c>
      <c r="I150" s="92">
        <v>2649</v>
      </c>
      <c r="J150" s="20">
        <v>0</v>
      </c>
      <c r="K150" s="20">
        <f>J150/E150</f>
        <v>0</v>
      </c>
      <c r="L150" s="20">
        <f t="shared" si="26"/>
        <v>2649</v>
      </c>
      <c r="M150" s="171"/>
      <c r="N150" s="171"/>
      <c r="O150" s="174"/>
      <c r="P150" s="40" t="str">
        <f>IF(O149&gt;=0.25,N149+M149,"CV&lt;25%")</f>
        <v>CV&lt;25%</v>
      </c>
      <c r="Q150" s="40" t="str">
        <f>IF(O149&gt;=0.25,N149-M149,"CV&lt;25%")</f>
        <v>CV&lt;25%</v>
      </c>
      <c r="R150" s="41" t="str">
        <f>IF(O149&lt;0.25,"PROPOSTA VÁLIDA",((IF(L150&gt;P150,"PROPOSTA FORA DOS LIMITES",IF(L150&lt;Q150,"PROPOSTA FORA DOS LIMITES","PROPOSTA VÁLIDA")))))</f>
        <v>PROPOSTA VÁLIDA</v>
      </c>
      <c r="S150" s="41">
        <f t="shared" si="23"/>
        <v>2649</v>
      </c>
      <c r="T150" s="165"/>
      <c r="U150" s="168"/>
      <c r="V150" s="13"/>
    </row>
    <row r="151" spans="1:22" ht="19.899999999999999" customHeight="1" thickBot="1" x14ac:dyDescent="0.25">
      <c r="A151" s="178"/>
      <c r="B151" s="190"/>
      <c r="C151" s="200"/>
      <c r="D151" s="111"/>
      <c r="E151" s="60"/>
      <c r="F151" s="14" t="s">
        <v>210</v>
      </c>
      <c r="G151" s="15" t="s">
        <v>211</v>
      </c>
      <c r="H151" s="16" t="s">
        <v>212</v>
      </c>
      <c r="I151" s="93">
        <v>3001.3</v>
      </c>
      <c r="J151" s="43">
        <v>68.59</v>
      </c>
      <c r="K151" s="43">
        <f>J151/E150</f>
        <v>34.295000000000002</v>
      </c>
      <c r="L151" s="43">
        <f t="shared" si="26"/>
        <v>3035.5950000000003</v>
      </c>
      <c r="M151" s="172"/>
      <c r="N151" s="172"/>
      <c r="O151" s="175"/>
      <c r="P151" s="44"/>
      <c r="Q151" s="44"/>
      <c r="R151" s="45" t="str">
        <f>IF(O149&lt;0.25,"PROPOSTA VÁLIDA",((IF(L151&gt;P150,"PROPOSTA FORA DOS LIMITES",IF(L151&lt;Q150,"PROPOSTA FORA DOS LIMITES","PROPOSTA VÁLIDA")))))</f>
        <v>PROPOSTA VÁLIDA</v>
      </c>
      <c r="S151" s="45">
        <f t="shared" si="23"/>
        <v>3035.5950000000003</v>
      </c>
      <c r="T151" s="166"/>
      <c r="U151" s="169"/>
    </row>
    <row r="152" spans="1:22" ht="19.899999999999999" customHeight="1" thickTop="1" x14ac:dyDescent="0.2">
      <c r="A152" s="176" t="s">
        <v>572</v>
      </c>
      <c r="B152" s="188" t="s">
        <v>213</v>
      </c>
      <c r="C152" s="198" t="s">
        <v>540</v>
      </c>
      <c r="D152" s="103"/>
      <c r="E152" s="58"/>
      <c r="F152" s="8" t="s">
        <v>88</v>
      </c>
      <c r="G152" s="19" t="s">
        <v>89</v>
      </c>
      <c r="H152" s="22" t="s">
        <v>214</v>
      </c>
      <c r="I152" s="92">
        <v>280.16000000000003</v>
      </c>
      <c r="J152" s="21">
        <v>18.02</v>
      </c>
      <c r="K152" s="21">
        <f>J152/E153</f>
        <v>1.3861538461538461</v>
      </c>
      <c r="L152" s="21">
        <f t="shared" ref="L152:L160" si="27">I152+K152</f>
        <v>281.54615384615386</v>
      </c>
      <c r="M152" s="170">
        <f>_xlfn.STDEV.S(L152:L154)</f>
        <v>11.945434100859966</v>
      </c>
      <c r="N152" s="170">
        <f>(SUM(L152:L154))/((IF(L152=0,0,1))+(IF(L153=0,0,1))+(IF(L154=0,0,1)))</f>
        <v>290.37461538461542</v>
      </c>
      <c r="O152" s="173">
        <f>M152/N152</f>
        <v>4.1138010927841105E-2</v>
      </c>
      <c r="P152" s="37"/>
      <c r="Q152" s="37"/>
      <c r="R152" s="38" t="str">
        <f>IF(O152&lt;0.25,"PROPOSTA VÁLIDA",((IF(L152&gt;P153,"PROPOSTA FORA DOS LIMITES",IF(L152&lt;Q153,"PROPOSTA FORA DOS LIMITES","PROPOSTA VÁLIDA")))))</f>
        <v>PROPOSTA VÁLIDA</v>
      </c>
      <c r="S152" s="38">
        <f t="shared" si="23"/>
        <v>281.54615384615386</v>
      </c>
      <c r="T152" s="164">
        <f>IF(O152&lt;0.25,AVERAGE(S152:S154),((IF(L152&gt;P153,0,IF(L152&lt;Q153,0,L152)))+(IF(L153&gt;P153,0,IF(L153&lt;Q153,0,L153)))+(IF(L154&gt;P153,0,IF(L154&lt;Q153,0,L154))))/(((IF(L152&gt;P153,0,IF(L152&lt;Q153,0,1))))+((IF(L153&gt;P153,0,IF(L153&lt;Q153,0,1))))+((IF(L154&gt;P153,0,IF(L154&lt;Q153,0,1))))))</f>
        <v>290.37461538461542</v>
      </c>
      <c r="U152" s="167">
        <f>IFERROR(T152*E153,"")</f>
        <v>3774.8700000000003</v>
      </c>
    </row>
    <row r="153" spans="1:22" ht="19.899999999999999" customHeight="1" x14ac:dyDescent="0.2">
      <c r="A153" s="177"/>
      <c r="B153" s="189"/>
      <c r="C153" s="199"/>
      <c r="D153" s="104" t="s">
        <v>737</v>
      </c>
      <c r="E153" s="59">
        <v>13</v>
      </c>
      <c r="F153" s="10" t="s">
        <v>215</v>
      </c>
      <c r="G153" s="11" t="s">
        <v>216</v>
      </c>
      <c r="H153" s="12" t="s">
        <v>217</v>
      </c>
      <c r="I153" s="92">
        <v>302.12</v>
      </c>
      <c r="J153" s="20">
        <v>24.01</v>
      </c>
      <c r="K153" s="20">
        <f>J153/E153</f>
        <v>1.8469230769230771</v>
      </c>
      <c r="L153" s="20">
        <f t="shared" si="27"/>
        <v>303.96692307692308</v>
      </c>
      <c r="M153" s="171"/>
      <c r="N153" s="171"/>
      <c r="O153" s="174"/>
      <c r="P153" s="40" t="str">
        <f>IF(O152&gt;=0.25,N152+M152,"CV&lt;25%")</f>
        <v>CV&lt;25%</v>
      </c>
      <c r="Q153" s="40" t="str">
        <f>IF(O152&gt;=0.25,N152-M152,"CV&lt;25%")</f>
        <v>CV&lt;25%</v>
      </c>
      <c r="R153" s="41" t="str">
        <f>IF(O152&lt;0.25,"PROPOSTA VÁLIDA",((IF(L153&gt;P153,"PROPOSTA FORA DOS LIMITES",IF(L153&lt;Q153,"PROPOSTA FORA DOS LIMITES","PROPOSTA VÁLIDA")))))</f>
        <v>PROPOSTA VÁLIDA</v>
      </c>
      <c r="S153" s="41">
        <f t="shared" si="23"/>
        <v>303.96692307692308</v>
      </c>
      <c r="T153" s="165"/>
      <c r="U153" s="168"/>
      <c r="V153" s="13"/>
    </row>
    <row r="154" spans="1:22" ht="19.899999999999999" customHeight="1" thickBot="1" x14ac:dyDescent="0.25">
      <c r="A154" s="178"/>
      <c r="B154" s="190"/>
      <c r="C154" s="200"/>
      <c r="D154" s="111"/>
      <c r="E154" s="60"/>
      <c r="F154" s="14" t="s">
        <v>207</v>
      </c>
      <c r="G154" s="15" t="s">
        <v>291</v>
      </c>
      <c r="H154" s="16" t="s">
        <v>290</v>
      </c>
      <c r="I154" s="93">
        <v>283.88</v>
      </c>
      <c r="J154" s="43">
        <v>22.5</v>
      </c>
      <c r="K154" s="43">
        <f>J154/E153</f>
        <v>1.7307692307692308</v>
      </c>
      <c r="L154" s="43">
        <f t="shared" si="27"/>
        <v>285.61076923076922</v>
      </c>
      <c r="M154" s="172"/>
      <c r="N154" s="172"/>
      <c r="O154" s="175"/>
      <c r="P154" s="44"/>
      <c r="Q154" s="44"/>
      <c r="R154" s="45" t="str">
        <f>IF(O152&lt;0.25,"PROPOSTA VÁLIDA",((IF(L154&gt;P153,"PROPOSTA FORA DOS LIMITES",IF(L154&lt;Q153,"PROPOSTA FORA DOS LIMITES","PROPOSTA VÁLIDA")))))</f>
        <v>PROPOSTA VÁLIDA</v>
      </c>
      <c r="S154" s="45">
        <f t="shared" si="23"/>
        <v>285.61076923076922</v>
      </c>
      <c r="T154" s="166"/>
      <c r="U154" s="169"/>
    </row>
    <row r="155" spans="1:22" ht="19.899999999999999" customHeight="1" thickTop="1" x14ac:dyDescent="0.2">
      <c r="A155" s="176" t="s">
        <v>573</v>
      </c>
      <c r="B155" s="188" t="s">
        <v>218</v>
      </c>
      <c r="C155" s="198" t="s">
        <v>539</v>
      </c>
      <c r="D155" s="103"/>
      <c r="E155" s="58"/>
      <c r="F155" s="8" t="s">
        <v>88</v>
      </c>
      <c r="G155" s="19" t="s">
        <v>89</v>
      </c>
      <c r="H155" s="22" t="s">
        <v>219</v>
      </c>
      <c r="I155" s="91">
        <v>370.41</v>
      </c>
      <c r="J155" s="21">
        <v>20.9</v>
      </c>
      <c r="K155" s="21">
        <f>J155/E156</f>
        <v>1.4928571428571427</v>
      </c>
      <c r="L155" s="21">
        <f t="shared" si="27"/>
        <v>371.90285714285716</v>
      </c>
      <c r="M155" s="170">
        <f>_xlfn.STDEV.S(L155:L157)</f>
        <v>22.197532869131884</v>
      </c>
      <c r="N155" s="170">
        <f>(SUM(L155:L157))/((IF(L155=0,0,1))+(IF(L156=0,0,1))+(IF(L157=0,0,1)))</f>
        <v>384.6088095238095</v>
      </c>
      <c r="O155" s="173">
        <f>M155/N155</f>
        <v>5.7714572104094586E-2</v>
      </c>
      <c r="P155" s="37"/>
      <c r="Q155" s="37"/>
      <c r="R155" s="38" t="str">
        <f>IF(O155&lt;0.25,"PROPOSTA VÁLIDA",((IF(L155&gt;P156,"PROPOSTA FORA DOS LIMITES",IF(L155&lt;Q156,"PROPOSTA FORA DOS LIMITES","PROPOSTA VÁLIDA")))))</f>
        <v>PROPOSTA VÁLIDA</v>
      </c>
      <c r="S155" s="38">
        <f t="shared" si="23"/>
        <v>371.90285714285716</v>
      </c>
      <c r="T155" s="164">
        <f>IF(O155&lt;0.25,AVERAGE(S155:S157),((IF(L155&gt;P156,0,IF(L155&lt;Q156,0,L155)))+(IF(L156&gt;P156,0,IF(L156&lt;Q156,0,L156)))+(IF(L157&gt;P156,0,IF(L157&lt;Q156,0,L157))))/(((IF(L155&gt;P156,0,IF(L155&lt;Q156,0,1))))+((IF(L156&gt;P156,0,IF(L156&lt;Q156,0,1))))+((IF(L157&gt;P156,0,IF(L157&lt;Q156,0,1))))))</f>
        <v>384.6088095238095</v>
      </c>
      <c r="U155" s="167">
        <f>IFERROR(T155*E156,"")</f>
        <v>5384.5233333333326</v>
      </c>
    </row>
    <row r="156" spans="1:22" ht="19.899999999999999" customHeight="1" x14ac:dyDescent="0.2">
      <c r="A156" s="177"/>
      <c r="B156" s="189"/>
      <c r="C156" s="199"/>
      <c r="D156" s="104" t="s">
        <v>737</v>
      </c>
      <c r="E156" s="59">
        <v>14</v>
      </c>
      <c r="F156" s="10" t="s">
        <v>215</v>
      </c>
      <c r="G156" s="11" t="s">
        <v>216</v>
      </c>
      <c r="H156" s="12" t="s">
        <v>220</v>
      </c>
      <c r="I156" s="92">
        <v>369.8</v>
      </c>
      <c r="J156" s="20">
        <v>26.37</v>
      </c>
      <c r="K156" s="20">
        <f>J156/E156</f>
        <v>1.8835714285714287</v>
      </c>
      <c r="L156" s="20">
        <f t="shared" si="27"/>
        <v>371.68357142857144</v>
      </c>
      <c r="M156" s="171"/>
      <c r="N156" s="171"/>
      <c r="O156" s="174"/>
      <c r="P156" s="40" t="str">
        <f>IF(O155&gt;=0.25,N155+M155,"CV&lt;25%")</f>
        <v>CV&lt;25%</v>
      </c>
      <c r="Q156" s="40" t="str">
        <f>IF(O155&gt;=0.25,N155-M155,"CV&lt;25%")</f>
        <v>CV&lt;25%</v>
      </c>
      <c r="R156" s="41" t="str">
        <f>IF(O155&lt;0.25,"PROPOSTA VÁLIDA",((IF(L156&gt;P156,"PROPOSTA FORA DOS LIMITES",IF(L156&lt;Q156,"PROPOSTA FORA DOS LIMITES","PROPOSTA VÁLIDA")))))</f>
        <v>PROPOSTA VÁLIDA</v>
      </c>
      <c r="S156" s="41">
        <f t="shared" si="23"/>
        <v>371.68357142857144</v>
      </c>
      <c r="T156" s="165"/>
      <c r="U156" s="168"/>
      <c r="V156" s="13"/>
    </row>
    <row r="157" spans="1:22" ht="19.899999999999999" customHeight="1" thickBot="1" x14ac:dyDescent="0.25">
      <c r="A157" s="178"/>
      <c r="B157" s="190"/>
      <c r="C157" s="200"/>
      <c r="D157" s="111"/>
      <c r="E157" s="60"/>
      <c r="F157" s="14" t="s">
        <v>221</v>
      </c>
      <c r="G157" s="15" t="s">
        <v>222</v>
      </c>
      <c r="H157" s="16" t="s">
        <v>223</v>
      </c>
      <c r="I157" s="93">
        <v>408.47</v>
      </c>
      <c r="J157" s="43">
        <v>24.78</v>
      </c>
      <c r="K157" s="43">
        <f>J157/E156</f>
        <v>1.77</v>
      </c>
      <c r="L157" s="43">
        <f t="shared" si="27"/>
        <v>410.24</v>
      </c>
      <c r="M157" s="172"/>
      <c r="N157" s="172"/>
      <c r="O157" s="175"/>
      <c r="P157" s="44"/>
      <c r="Q157" s="44"/>
      <c r="R157" s="45" t="str">
        <f>IF(O155&lt;0.25,"PROPOSTA VÁLIDA",((IF(L157&gt;P156,"PROPOSTA FORA DOS LIMITES",IF(L157&lt;Q156,"PROPOSTA FORA DOS LIMITES","PROPOSTA VÁLIDA")))))</f>
        <v>PROPOSTA VÁLIDA</v>
      </c>
      <c r="S157" s="45">
        <f t="shared" si="23"/>
        <v>410.24</v>
      </c>
      <c r="T157" s="166"/>
      <c r="U157" s="169"/>
    </row>
    <row r="158" spans="1:22" ht="19.899999999999999" customHeight="1" thickTop="1" x14ac:dyDescent="0.2">
      <c r="A158" s="176" t="s">
        <v>574</v>
      </c>
      <c r="B158" s="188" t="s">
        <v>224</v>
      </c>
      <c r="C158" s="198" t="s">
        <v>546</v>
      </c>
      <c r="D158" s="103"/>
      <c r="E158" s="58"/>
      <c r="F158" s="8" t="s">
        <v>88</v>
      </c>
      <c r="G158" s="19" t="s">
        <v>89</v>
      </c>
      <c r="H158" s="22" t="s">
        <v>225</v>
      </c>
      <c r="I158" s="91">
        <v>164.26</v>
      </c>
      <c r="J158" s="21">
        <v>17.21</v>
      </c>
      <c r="K158" s="21">
        <f>J158/E159</f>
        <v>1.2292857142857143</v>
      </c>
      <c r="L158" s="21">
        <f t="shared" si="27"/>
        <v>165.4892857142857</v>
      </c>
      <c r="M158" s="170">
        <f>_xlfn.STDEV.S(L158:L160)</f>
        <v>5.3061459039251462</v>
      </c>
      <c r="N158" s="170">
        <f>(SUM(L158:L160))/((IF(L158=0,0,1))+(IF(L159=0,0,1))+(IF(L160=0,0,1)))</f>
        <v>171.30547619047618</v>
      </c>
      <c r="O158" s="173">
        <f>M158/N158</f>
        <v>3.0974759370944991E-2</v>
      </c>
      <c r="P158" s="37"/>
      <c r="Q158" s="37"/>
      <c r="R158" s="38" t="str">
        <f>IF(O158&lt;0.25,"PROPOSTA VÁLIDA",((IF(L158&gt;P159,"PROPOSTA FORA DOS LIMITES",IF(L158&lt;Q159,"PROPOSTA FORA DOS LIMITES","PROPOSTA VÁLIDA")))))</f>
        <v>PROPOSTA VÁLIDA</v>
      </c>
      <c r="S158" s="38">
        <f t="shared" si="23"/>
        <v>165.4892857142857</v>
      </c>
      <c r="T158" s="164">
        <f>IF(O158&lt;0.25,AVERAGE(S158:S160),((IF(L158&gt;P159,0,IF(L158&lt;Q159,0,L158)))+(IF(L159&gt;P159,0,IF(L159&lt;Q159,0,L159)))+(IF(L160&gt;P159,0,IF(L160&lt;Q159,0,L160))))/(((IF(L158&gt;P159,0,IF(L158&lt;Q159,0,1))))+((IF(L159&gt;P159,0,IF(L159&lt;Q159,0,1))))+((IF(L160&gt;P159,0,IF(L160&lt;Q159,0,1))))))</f>
        <v>171.30547619047618</v>
      </c>
      <c r="U158" s="167">
        <f>IFERROR(T158*E159,"")</f>
        <v>2398.2766666666666</v>
      </c>
    </row>
    <row r="159" spans="1:22" ht="19.899999999999999" customHeight="1" x14ac:dyDescent="0.2">
      <c r="A159" s="177"/>
      <c r="B159" s="189"/>
      <c r="C159" s="199"/>
      <c r="D159" s="104" t="s">
        <v>737</v>
      </c>
      <c r="E159" s="59">
        <v>14</v>
      </c>
      <c r="F159" s="10" t="s">
        <v>215</v>
      </c>
      <c r="G159" s="11" t="s">
        <v>216</v>
      </c>
      <c r="H159" s="12" t="s">
        <v>226</v>
      </c>
      <c r="I159" s="92">
        <v>170.85</v>
      </c>
      <c r="J159" s="20">
        <v>23.73</v>
      </c>
      <c r="K159" s="20">
        <f>J159/E159</f>
        <v>1.6950000000000001</v>
      </c>
      <c r="L159" s="20">
        <f t="shared" si="27"/>
        <v>172.54499999999999</v>
      </c>
      <c r="M159" s="171"/>
      <c r="N159" s="171"/>
      <c r="O159" s="174"/>
      <c r="P159" s="40" t="str">
        <f>IF(O158&gt;=0.25,N158+M158,"CV&lt;25%")</f>
        <v>CV&lt;25%</v>
      </c>
      <c r="Q159" s="40" t="str">
        <f>IF(O158&gt;=0.25,N158-M158,"CV&lt;25%")</f>
        <v>CV&lt;25%</v>
      </c>
      <c r="R159" s="41" t="str">
        <f>IF(O158&lt;0.25,"PROPOSTA VÁLIDA",((IF(L159&gt;P159,"PROPOSTA FORA DOS LIMITES",IF(L159&lt;Q159,"PROPOSTA FORA DOS LIMITES","PROPOSTA VÁLIDA")))))</f>
        <v>PROPOSTA VÁLIDA</v>
      </c>
      <c r="S159" s="41">
        <f t="shared" si="23"/>
        <v>172.54499999999999</v>
      </c>
      <c r="T159" s="165"/>
      <c r="U159" s="168"/>
      <c r="V159" s="13"/>
    </row>
    <row r="160" spans="1:22" ht="19.899999999999999" customHeight="1" thickBot="1" x14ac:dyDescent="0.25">
      <c r="A160" s="178"/>
      <c r="B160" s="190"/>
      <c r="C160" s="200"/>
      <c r="D160" s="111"/>
      <c r="E160" s="60"/>
      <c r="F160" s="14" t="s">
        <v>227</v>
      </c>
      <c r="G160" s="15" t="s">
        <v>228</v>
      </c>
      <c r="H160" s="16" t="s">
        <v>229</v>
      </c>
      <c r="I160" s="93">
        <v>172.9</v>
      </c>
      <c r="J160" s="43">
        <v>41.75</v>
      </c>
      <c r="K160" s="43">
        <f>J160/E159</f>
        <v>2.9821428571428572</v>
      </c>
      <c r="L160" s="43">
        <f t="shared" si="27"/>
        <v>175.88214285714287</v>
      </c>
      <c r="M160" s="172"/>
      <c r="N160" s="172"/>
      <c r="O160" s="175"/>
      <c r="P160" s="44"/>
      <c r="Q160" s="44"/>
      <c r="R160" s="45" t="str">
        <f>IF(O158&lt;0.25,"PROPOSTA VÁLIDA",((IF(L160&gt;P159,"PROPOSTA FORA DOS LIMITES",IF(L160&lt;Q159,"PROPOSTA FORA DOS LIMITES","PROPOSTA VÁLIDA")))))</f>
        <v>PROPOSTA VÁLIDA</v>
      </c>
      <c r="S160" s="45">
        <f t="shared" si="23"/>
        <v>175.88214285714287</v>
      </c>
      <c r="T160" s="166"/>
      <c r="U160" s="169"/>
    </row>
    <row r="161" spans="1:22" ht="19.899999999999999" customHeight="1" thickTop="1" x14ac:dyDescent="0.2">
      <c r="A161" s="176" t="s">
        <v>554</v>
      </c>
      <c r="B161" s="188" t="s">
        <v>351</v>
      </c>
      <c r="C161" s="198" t="s">
        <v>547</v>
      </c>
      <c r="D161" s="103"/>
      <c r="E161" s="58"/>
      <c r="F161" s="8" t="s">
        <v>215</v>
      </c>
      <c r="G161" s="19" t="s">
        <v>216</v>
      </c>
      <c r="H161" s="22" t="s">
        <v>352</v>
      </c>
      <c r="I161" s="91">
        <v>65.17</v>
      </c>
      <c r="J161" s="21">
        <v>22.41</v>
      </c>
      <c r="K161" s="21">
        <f>J161/E162</f>
        <v>1.0186363636363636</v>
      </c>
      <c r="L161" s="21">
        <f t="shared" ref="L161:L163" si="28">I161+K161</f>
        <v>66.188636363636363</v>
      </c>
      <c r="M161" s="170">
        <f>_xlfn.STDEV.S(L161:L163)</f>
        <v>10.153286793619984</v>
      </c>
      <c r="N161" s="170">
        <f>(SUM(L161:L163))/((IF(L161=0,0,1))+(IF(L162=0,0,1))+(IF(L163=0,0,1)))</f>
        <v>70.058939393939397</v>
      </c>
      <c r="O161" s="173">
        <f>M161/N161</f>
        <v>0.14492492865940126</v>
      </c>
      <c r="P161" s="37"/>
      <c r="Q161" s="37"/>
      <c r="R161" s="38" t="str">
        <f>IF(O161&lt;0.25,"PROPOSTA VÁLIDA",((IF(L161&gt;P162,"PROPOSTA FORA DOS LIMITES",IF(L161&lt;Q162,"PROPOSTA FORA DOS LIMITES","PROPOSTA VÁLIDA")))))</f>
        <v>PROPOSTA VÁLIDA</v>
      </c>
      <c r="S161" s="38">
        <f>(IF(R161="PROPOSTA VÁLIDA",L161,0))</f>
        <v>66.188636363636363</v>
      </c>
      <c r="T161" s="164">
        <f>IF(O161&lt;0.25,AVERAGE(S161:S163),((IF(L161&gt;P162,0,IF(L161&lt;Q162,0,L161)))+(IF(L162&gt;P162,0,IF(L162&lt;Q162,0,L162)))+(IF(L163&gt;P162,0,IF(L163&lt;Q162,0,L163))))/(((IF(L161&gt;P162,0,IF(L161&lt;Q162,0,1))))+((IF(L162&gt;P162,0,IF(L162&lt;Q162,0,1))))+((IF(L163&gt;P162,0,IF(L163&lt;Q162,0,1))))))</f>
        <v>70.058939393939397</v>
      </c>
      <c r="U161" s="167">
        <f>IFERROR(T161*E162,"")</f>
        <v>1541.2966666666666</v>
      </c>
    </row>
    <row r="162" spans="1:22" ht="19.899999999999999" customHeight="1" x14ac:dyDescent="0.2">
      <c r="A162" s="177"/>
      <c r="B162" s="189"/>
      <c r="C162" s="199"/>
      <c r="D162" s="104" t="s">
        <v>737</v>
      </c>
      <c r="E162" s="59">
        <v>22</v>
      </c>
      <c r="F162" s="10" t="s">
        <v>88</v>
      </c>
      <c r="G162" s="11" t="s">
        <v>89</v>
      </c>
      <c r="H162" s="12" t="s">
        <v>353</v>
      </c>
      <c r="I162" s="92">
        <v>61.66</v>
      </c>
      <c r="J162" s="20">
        <v>16.5</v>
      </c>
      <c r="K162" s="20">
        <f>J162/E162</f>
        <v>0.75</v>
      </c>
      <c r="L162" s="20">
        <f t="shared" si="28"/>
        <v>62.41</v>
      </c>
      <c r="M162" s="171"/>
      <c r="N162" s="171"/>
      <c r="O162" s="174"/>
      <c r="P162" s="40" t="str">
        <f>IF(O161&gt;=0.25,N161+M161,"CV&lt;25%")</f>
        <v>CV&lt;25%</v>
      </c>
      <c r="Q162" s="40" t="str">
        <f>IF(O161&gt;=0.25,N161-M161,"CV&lt;25%")</f>
        <v>CV&lt;25%</v>
      </c>
      <c r="R162" s="41" t="str">
        <f>IF(O161&lt;0.25,"PROPOSTA VÁLIDA",((IF(L162&gt;P162,"PROPOSTA FORA DOS LIMITES",IF(L162&lt;Q162,"PROPOSTA FORA DOS LIMITES","PROPOSTA VÁLIDA")))))</f>
        <v>PROPOSTA VÁLIDA</v>
      </c>
      <c r="S162" s="41">
        <f>(IF(R162="PROPOSTA VÁLIDA",L162,0))</f>
        <v>62.41</v>
      </c>
      <c r="T162" s="165"/>
      <c r="U162" s="168"/>
      <c r="V162" s="13"/>
    </row>
    <row r="163" spans="1:22" ht="19.899999999999999" customHeight="1" thickBot="1" x14ac:dyDescent="0.25">
      <c r="A163" s="178"/>
      <c r="B163" s="190"/>
      <c r="C163" s="200"/>
      <c r="D163" s="111"/>
      <c r="E163" s="60"/>
      <c r="F163" s="14" t="s">
        <v>769</v>
      </c>
      <c r="G163" s="15" t="s">
        <v>768</v>
      </c>
      <c r="H163" s="16" t="s">
        <v>770</v>
      </c>
      <c r="I163" s="93">
        <v>80.47</v>
      </c>
      <c r="J163" s="43">
        <v>24.38</v>
      </c>
      <c r="K163" s="43">
        <f>J163/E162</f>
        <v>1.1081818181818182</v>
      </c>
      <c r="L163" s="43">
        <f t="shared" si="28"/>
        <v>81.578181818181818</v>
      </c>
      <c r="M163" s="172"/>
      <c r="N163" s="172"/>
      <c r="O163" s="175"/>
      <c r="P163" s="44"/>
      <c r="Q163" s="44"/>
      <c r="R163" s="45" t="str">
        <f>IF(O161&lt;0.25,"PROPOSTA VÁLIDA",((IF(L163&gt;P162,"PROPOSTA FORA DOS LIMITES",IF(L163&lt;Q162,"PROPOSTA FORA DOS LIMITES","PROPOSTA VÁLIDA")))))</f>
        <v>PROPOSTA VÁLIDA</v>
      </c>
      <c r="S163" s="45">
        <f>(IF(R163="PROPOSTA VÁLIDA",L163,0))</f>
        <v>81.578181818181818</v>
      </c>
      <c r="T163" s="166"/>
      <c r="U163" s="169"/>
    </row>
    <row r="164" spans="1:22" ht="19.899999999999999" customHeight="1" thickTop="1" x14ac:dyDescent="0.2">
      <c r="A164" s="176" t="s">
        <v>620</v>
      </c>
      <c r="B164" s="188" t="s">
        <v>415</v>
      </c>
      <c r="C164" s="98"/>
      <c r="D164" s="122"/>
      <c r="E164" s="58"/>
      <c r="F164" s="8" t="s">
        <v>19</v>
      </c>
      <c r="G164" s="19" t="s">
        <v>66</v>
      </c>
      <c r="H164" s="22" t="s">
        <v>419</v>
      </c>
      <c r="I164" s="136"/>
      <c r="J164" s="125"/>
      <c r="K164" s="125"/>
      <c r="L164" s="125"/>
      <c r="M164" s="185"/>
      <c r="N164" s="185"/>
      <c r="O164" s="192"/>
      <c r="P164" s="113"/>
      <c r="Q164" s="113"/>
      <c r="R164" s="114"/>
      <c r="S164" s="114"/>
      <c r="T164" s="185"/>
      <c r="U164" s="185"/>
    </row>
    <row r="165" spans="1:22" ht="26.25" thickBot="1" x14ac:dyDescent="0.25">
      <c r="A165" s="177"/>
      <c r="B165" s="189"/>
      <c r="C165" s="104" t="s">
        <v>737</v>
      </c>
      <c r="D165" s="123" t="s">
        <v>771</v>
      </c>
      <c r="E165" s="59">
        <v>1</v>
      </c>
      <c r="F165" s="10" t="s">
        <v>62</v>
      </c>
      <c r="G165" s="11" t="s">
        <v>63</v>
      </c>
      <c r="H165" s="12" t="s">
        <v>418</v>
      </c>
      <c r="I165" s="126"/>
      <c r="J165" s="126"/>
      <c r="K165" s="126"/>
      <c r="L165" s="126"/>
      <c r="M165" s="186"/>
      <c r="N165" s="186"/>
      <c r="O165" s="193"/>
      <c r="P165" s="115"/>
      <c r="Q165" s="115"/>
      <c r="R165" s="116"/>
      <c r="S165" s="116"/>
      <c r="T165" s="186"/>
      <c r="U165" s="186"/>
      <c r="V165" s="13"/>
    </row>
    <row r="166" spans="1:22" ht="19.899999999999999" customHeight="1" thickBot="1" x14ac:dyDescent="0.25">
      <c r="A166" s="178"/>
      <c r="B166" s="190"/>
      <c r="C166" s="99"/>
      <c r="D166" s="124"/>
      <c r="E166" s="60"/>
      <c r="F166" s="14" t="s">
        <v>417</v>
      </c>
      <c r="G166" s="15" t="s">
        <v>509</v>
      </c>
      <c r="H166" s="16" t="s">
        <v>416</v>
      </c>
      <c r="I166" s="127"/>
      <c r="J166" s="127"/>
      <c r="K166" s="127"/>
      <c r="L166" s="127"/>
      <c r="M166" s="187"/>
      <c r="N166" s="187"/>
      <c r="O166" s="194"/>
      <c r="P166" s="117"/>
      <c r="Q166" s="117"/>
      <c r="R166" s="118"/>
      <c r="S166" s="118"/>
      <c r="T166" s="187"/>
      <c r="U166" s="187"/>
    </row>
    <row r="167" spans="1:22" ht="19.899999999999999" customHeight="1" thickTop="1" x14ac:dyDescent="0.2">
      <c r="A167" s="176" t="s">
        <v>552</v>
      </c>
      <c r="B167" s="188" t="s">
        <v>230</v>
      </c>
      <c r="C167" s="98"/>
      <c r="D167" s="198" t="s">
        <v>772</v>
      </c>
      <c r="E167" s="58"/>
      <c r="F167" s="8" t="s">
        <v>247</v>
      </c>
      <c r="G167" s="19" t="s">
        <v>248</v>
      </c>
      <c r="H167" s="22" t="s">
        <v>292</v>
      </c>
      <c r="I167" s="136"/>
      <c r="J167" s="125"/>
      <c r="K167" s="125"/>
      <c r="L167" s="125"/>
      <c r="M167" s="185"/>
      <c r="N167" s="185"/>
      <c r="O167" s="192"/>
      <c r="P167" s="113"/>
      <c r="Q167" s="113"/>
      <c r="R167" s="114"/>
      <c r="S167" s="114"/>
      <c r="T167" s="185"/>
      <c r="U167" s="185"/>
    </row>
    <row r="168" spans="1:22" ht="19.899999999999999" customHeight="1" x14ac:dyDescent="0.2">
      <c r="A168" s="177"/>
      <c r="B168" s="189"/>
      <c r="C168" s="104" t="s">
        <v>737</v>
      </c>
      <c r="D168" s="199"/>
      <c r="E168" s="59">
        <v>11</v>
      </c>
      <c r="F168" s="10" t="s">
        <v>76</v>
      </c>
      <c r="G168" s="11" t="s">
        <v>77</v>
      </c>
      <c r="H168" s="12" t="s">
        <v>231</v>
      </c>
      <c r="I168" s="126"/>
      <c r="J168" s="126"/>
      <c r="K168" s="126"/>
      <c r="L168" s="126"/>
      <c r="M168" s="186"/>
      <c r="N168" s="186"/>
      <c r="O168" s="193"/>
      <c r="P168" s="115"/>
      <c r="Q168" s="115"/>
      <c r="R168" s="116"/>
      <c r="S168" s="116"/>
      <c r="T168" s="186"/>
      <c r="U168" s="186"/>
      <c r="V168" s="13"/>
    </row>
    <row r="169" spans="1:22" ht="19.899999999999999" customHeight="1" thickBot="1" x14ac:dyDescent="0.25">
      <c r="A169" s="178"/>
      <c r="B169" s="190"/>
      <c r="C169" s="99"/>
      <c r="D169" s="200"/>
      <c r="E169" s="60"/>
      <c r="F169" s="14" t="s">
        <v>232</v>
      </c>
      <c r="G169" s="15" t="s">
        <v>233</v>
      </c>
      <c r="H169" s="16" t="s">
        <v>234</v>
      </c>
      <c r="I169" s="127"/>
      <c r="J169" s="127"/>
      <c r="K169" s="127"/>
      <c r="L169" s="127"/>
      <c r="M169" s="187"/>
      <c r="N169" s="187"/>
      <c r="O169" s="194"/>
      <c r="P169" s="117"/>
      <c r="Q169" s="117"/>
      <c r="R169" s="118"/>
      <c r="S169" s="118"/>
      <c r="T169" s="187"/>
      <c r="U169" s="187"/>
    </row>
    <row r="170" spans="1:22" ht="19.899999999999999" customHeight="1" thickTop="1" x14ac:dyDescent="0.2">
      <c r="A170" s="176" t="s">
        <v>553</v>
      </c>
      <c r="B170" s="195" t="s">
        <v>235</v>
      </c>
      <c r="C170" s="112"/>
      <c r="D170" s="198" t="s">
        <v>773</v>
      </c>
      <c r="E170" s="58"/>
      <c r="F170" s="8" t="s">
        <v>236</v>
      </c>
      <c r="G170" s="19" t="s">
        <v>237</v>
      </c>
      <c r="H170" s="22" t="s">
        <v>238</v>
      </c>
      <c r="I170" s="136"/>
      <c r="J170" s="125"/>
      <c r="K170" s="125"/>
      <c r="L170" s="125"/>
      <c r="M170" s="185"/>
      <c r="N170" s="185"/>
      <c r="O170" s="192"/>
      <c r="P170" s="113"/>
      <c r="Q170" s="113"/>
      <c r="R170" s="114"/>
      <c r="S170" s="114"/>
      <c r="T170" s="185"/>
      <c r="U170" s="185"/>
    </row>
    <row r="171" spans="1:22" ht="19.899999999999999" customHeight="1" x14ac:dyDescent="0.2">
      <c r="A171" s="177"/>
      <c r="B171" s="196"/>
      <c r="C171" s="109" t="s">
        <v>737</v>
      </c>
      <c r="D171" s="199"/>
      <c r="E171" s="59">
        <v>25</v>
      </c>
      <c r="F171" s="10" t="s">
        <v>294</v>
      </c>
      <c r="G171" s="11" t="s">
        <v>295</v>
      </c>
      <c r="H171" s="12" t="s">
        <v>293</v>
      </c>
      <c r="I171" s="126"/>
      <c r="J171" s="126"/>
      <c r="K171" s="126"/>
      <c r="L171" s="126"/>
      <c r="M171" s="186"/>
      <c r="N171" s="186"/>
      <c r="O171" s="193"/>
      <c r="P171" s="115"/>
      <c r="Q171" s="115"/>
      <c r="R171" s="116"/>
      <c r="S171" s="116"/>
      <c r="T171" s="186"/>
      <c r="U171" s="186"/>
      <c r="V171" s="13"/>
    </row>
    <row r="172" spans="1:22" ht="19.899999999999999" customHeight="1" thickBot="1" x14ac:dyDescent="0.25">
      <c r="A172" s="178"/>
      <c r="B172" s="197"/>
      <c r="C172" s="100"/>
      <c r="D172" s="200"/>
      <c r="E172" s="60"/>
      <c r="F172" s="14" t="s">
        <v>701</v>
      </c>
      <c r="G172" s="15">
        <v>12803600000177</v>
      </c>
      <c r="H172" s="70" t="s">
        <v>700</v>
      </c>
      <c r="I172" s="127"/>
      <c r="J172" s="127"/>
      <c r="K172" s="127"/>
      <c r="L172" s="127"/>
      <c r="M172" s="187"/>
      <c r="N172" s="187"/>
      <c r="O172" s="194"/>
      <c r="P172" s="117"/>
      <c r="Q172" s="117"/>
      <c r="R172" s="118"/>
      <c r="S172" s="118"/>
      <c r="T172" s="187"/>
      <c r="U172" s="187"/>
    </row>
    <row r="173" spans="1:22" ht="19.899999999999999" customHeight="1" thickTop="1" x14ac:dyDescent="0.2">
      <c r="A173" s="176" t="s">
        <v>577</v>
      </c>
      <c r="B173" s="195" t="s">
        <v>239</v>
      </c>
      <c r="C173" s="112"/>
      <c r="D173" s="198" t="s">
        <v>774</v>
      </c>
      <c r="E173" s="58"/>
      <c r="F173" s="8" t="s">
        <v>236</v>
      </c>
      <c r="G173" s="19" t="s">
        <v>237</v>
      </c>
      <c r="H173" s="22" t="s">
        <v>240</v>
      </c>
      <c r="I173" s="136"/>
      <c r="J173" s="125"/>
      <c r="K173" s="125"/>
      <c r="L173" s="125"/>
      <c r="M173" s="185"/>
      <c r="N173" s="185"/>
      <c r="O173" s="192"/>
      <c r="P173" s="113"/>
      <c r="Q173" s="113"/>
      <c r="R173" s="114"/>
      <c r="S173" s="114"/>
      <c r="T173" s="185"/>
      <c r="U173" s="185"/>
    </row>
    <row r="174" spans="1:22" ht="19.899999999999999" customHeight="1" x14ac:dyDescent="0.2">
      <c r="A174" s="177"/>
      <c r="B174" s="196"/>
      <c r="C174" s="109" t="s">
        <v>737</v>
      </c>
      <c r="D174" s="199"/>
      <c r="E174" s="59">
        <v>1</v>
      </c>
      <c r="F174" s="10" t="s">
        <v>241</v>
      </c>
      <c r="G174" s="11" t="s">
        <v>242</v>
      </c>
      <c r="H174" s="12" t="s">
        <v>243</v>
      </c>
      <c r="I174" s="126"/>
      <c r="J174" s="126"/>
      <c r="K174" s="126"/>
      <c r="L174" s="126"/>
      <c r="M174" s="186"/>
      <c r="N174" s="186"/>
      <c r="O174" s="193"/>
      <c r="P174" s="115"/>
      <c r="Q174" s="115"/>
      <c r="R174" s="116"/>
      <c r="S174" s="116"/>
      <c r="T174" s="186"/>
      <c r="U174" s="186"/>
      <c r="V174" s="13"/>
    </row>
    <row r="175" spans="1:22" ht="19.899999999999999" customHeight="1" thickBot="1" x14ac:dyDescent="0.25">
      <c r="A175" s="178"/>
      <c r="B175" s="197"/>
      <c r="C175" s="100"/>
      <c r="D175" s="200"/>
      <c r="E175" s="60"/>
      <c r="F175" s="14" t="s">
        <v>244</v>
      </c>
      <c r="G175" s="15" t="s">
        <v>245</v>
      </c>
      <c r="H175" s="16" t="s">
        <v>246</v>
      </c>
      <c r="I175" s="127"/>
      <c r="J175" s="127"/>
      <c r="K175" s="127"/>
      <c r="L175" s="127"/>
      <c r="M175" s="187"/>
      <c r="N175" s="187"/>
      <c r="O175" s="194"/>
      <c r="P175" s="117"/>
      <c r="Q175" s="117"/>
      <c r="R175" s="118"/>
      <c r="S175" s="118"/>
      <c r="T175" s="187"/>
      <c r="U175" s="187"/>
    </row>
    <row r="176" spans="1:22" ht="19.899999999999999" customHeight="1" thickTop="1" x14ac:dyDescent="0.2">
      <c r="A176" s="176" t="s">
        <v>556</v>
      </c>
      <c r="B176" s="195" t="s">
        <v>402</v>
      </c>
      <c r="C176" s="119"/>
      <c r="D176" s="112"/>
      <c r="E176" s="58"/>
      <c r="F176" s="8" t="s">
        <v>111</v>
      </c>
      <c r="G176" s="19" t="s">
        <v>112</v>
      </c>
      <c r="H176" s="22" t="s">
        <v>403</v>
      </c>
      <c r="I176" s="91">
        <v>373.6</v>
      </c>
      <c r="J176" s="21">
        <v>70.7</v>
      </c>
      <c r="K176" s="21">
        <f>J176/E177</f>
        <v>5.05</v>
      </c>
      <c r="L176" s="21">
        <f t="shared" ref="L176:L178" si="29">I176+K176</f>
        <v>378.65000000000003</v>
      </c>
      <c r="M176" s="170">
        <f>_xlfn.STDEV.S(L176:L178)</f>
        <v>62.574912746819564</v>
      </c>
      <c r="N176" s="170">
        <f>(SUM(L176:L178))/((IF(L176=0,0,1))+(IF(L177=0,0,1))+(IF(L178=0,0,1)))</f>
        <v>437.33595238095239</v>
      </c>
      <c r="O176" s="173">
        <f>M176/N176</f>
        <v>0.14308202288457667</v>
      </c>
      <c r="P176" s="37"/>
      <c r="Q176" s="37"/>
      <c r="R176" s="38" t="str">
        <f>IF(O176&lt;0.25,"PROPOSTA VÁLIDA",((IF(L176&gt;P177,"PROPOSTA FORA DOS LIMITES",IF(L176&lt;Q177,"PROPOSTA FORA DOS LIMITES","PROPOSTA VÁLIDA")))))</f>
        <v>PROPOSTA VÁLIDA</v>
      </c>
      <c r="S176" s="38">
        <f t="shared" ref="S176:S178" si="30">(IF(R176="PROPOSTA VÁLIDA",L176,0))</f>
        <v>378.65000000000003</v>
      </c>
      <c r="T176" s="164">
        <f>IF(O176&lt;0.25,AVERAGE(S176:S178),((IF(L176&gt;P177,0,IF(L176&lt;Q177,0,L176)))+(IF(L177&gt;P177,0,IF(L177&lt;Q177,0,L177)))+(IF(L178&gt;P177,0,IF(L178&lt;Q177,0,L178))))/(((IF(L176&gt;P177,0,IF(L176&lt;Q177,0,1))))+((IF(L177&gt;P177,0,IF(L177&lt;Q177,0,1))))+((IF(L178&gt;P177,0,IF(L178&lt;Q177,0,1))))))</f>
        <v>437.33595238095239</v>
      </c>
      <c r="U176" s="167">
        <f>IFERROR(T176*E177,"")</f>
        <v>6122.7033333333338</v>
      </c>
    </row>
    <row r="177" spans="1:22" ht="19.899999999999999" customHeight="1" x14ac:dyDescent="0.2">
      <c r="A177" s="177"/>
      <c r="B177" s="196"/>
      <c r="C177" s="123" t="s">
        <v>556</v>
      </c>
      <c r="D177" s="109" t="s">
        <v>737</v>
      </c>
      <c r="E177" s="59">
        <v>14</v>
      </c>
      <c r="F177" s="10" t="s">
        <v>889</v>
      </c>
      <c r="G177" s="11" t="s">
        <v>891</v>
      </c>
      <c r="H177" s="12" t="s">
        <v>890</v>
      </c>
      <c r="I177" s="92">
        <v>428.93</v>
      </c>
      <c r="J177" s="20">
        <v>17.420000000000002</v>
      </c>
      <c r="K177" s="20">
        <f>J177/E177</f>
        <v>1.2442857142857144</v>
      </c>
      <c r="L177" s="20">
        <f t="shared" si="29"/>
        <v>430.1742857142857</v>
      </c>
      <c r="M177" s="171"/>
      <c r="N177" s="171"/>
      <c r="O177" s="174"/>
      <c r="P177" s="40" t="str">
        <f>IF(O176&gt;=0.25,N176+M176,"CV&lt;25%")</f>
        <v>CV&lt;25%</v>
      </c>
      <c r="Q177" s="40" t="str">
        <f>IF(O176&gt;=0.25,N176-M176,"CV&lt;25%")</f>
        <v>CV&lt;25%</v>
      </c>
      <c r="R177" s="41" t="str">
        <f>IF(O176&lt;0.25,"PROPOSTA VÁLIDA",((IF(L177&gt;P177,"PROPOSTA FORA DOS LIMITES",IF(L177&lt;Q177,"PROPOSTA FORA DOS LIMITES","PROPOSTA VÁLIDA")))))</f>
        <v>PROPOSTA VÁLIDA</v>
      </c>
      <c r="S177" s="41">
        <f t="shared" si="30"/>
        <v>430.1742857142857</v>
      </c>
      <c r="T177" s="165"/>
      <c r="U177" s="168"/>
      <c r="V177" s="13"/>
    </row>
    <row r="178" spans="1:22" ht="19.899999999999999" customHeight="1" thickBot="1" x14ac:dyDescent="0.25">
      <c r="A178" s="178"/>
      <c r="B178" s="197"/>
      <c r="C178" s="121"/>
      <c r="D178" s="100"/>
      <c r="E178" s="60"/>
      <c r="F178" s="14" t="s">
        <v>405</v>
      </c>
      <c r="G178" s="15" t="s">
        <v>514</v>
      </c>
      <c r="H178" s="16" t="s">
        <v>404</v>
      </c>
      <c r="I178" s="93">
        <v>501.9</v>
      </c>
      <c r="J178" s="43">
        <v>17.97</v>
      </c>
      <c r="K178" s="43">
        <f>J178/E177</f>
        <v>1.2835714285714286</v>
      </c>
      <c r="L178" s="43">
        <f t="shared" si="29"/>
        <v>503.18357142857138</v>
      </c>
      <c r="M178" s="172"/>
      <c r="N178" s="172"/>
      <c r="O178" s="175"/>
      <c r="P178" s="44"/>
      <c r="Q178" s="44"/>
      <c r="R178" s="45" t="str">
        <f>IF(O176&lt;0.25,"PROPOSTA VÁLIDA",((IF(L178&gt;P177,"PROPOSTA FORA DOS LIMITES",IF(L178&lt;Q177,"PROPOSTA FORA DOS LIMITES","PROPOSTA VÁLIDA")))))</f>
        <v>PROPOSTA VÁLIDA</v>
      </c>
      <c r="S178" s="45">
        <f t="shared" si="30"/>
        <v>503.18357142857138</v>
      </c>
      <c r="T178" s="166"/>
      <c r="U178" s="169"/>
    </row>
    <row r="179" spans="1:22" ht="19.899999999999999" customHeight="1" thickTop="1" x14ac:dyDescent="0.2">
      <c r="A179" s="176" t="s">
        <v>555</v>
      </c>
      <c r="B179" s="188" t="s">
        <v>408</v>
      </c>
      <c r="C179" s="198" t="s">
        <v>548</v>
      </c>
      <c r="D179" s="112"/>
      <c r="E179" s="58"/>
      <c r="F179" s="8" t="s">
        <v>88</v>
      </c>
      <c r="G179" s="19" t="s">
        <v>89</v>
      </c>
      <c r="H179" s="22" t="s">
        <v>406</v>
      </c>
      <c r="I179" s="91">
        <v>175.66</v>
      </c>
      <c r="J179" s="21">
        <v>17.29</v>
      </c>
      <c r="K179" s="21">
        <f>J179/E180</f>
        <v>1.4408333333333332</v>
      </c>
      <c r="L179" s="21">
        <f t="shared" ref="L179:L181" si="31">I179+K179</f>
        <v>177.10083333333333</v>
      </c>
      <c r="M179" s="170">
        <f>_xlfn.STDEV.S(L179:L181)</f>
        <v>17.568596055493757</v>
      </c>
      <c r="N179" s="170">
        <f>(SUM(L179:L181))/((IF(L179=0,0,1))+(IF(L180=0,0,1))+(IF(L181=0,0,1)))</f>
        <v>170.26000000000002</v>
      </c>
      <c r="O179" s="173">
        <f>M179/N179</f>
        <v>0.1031868674703028</v>
      </c>
      <c r="P179" s="37"/>
      <c r="Q179" s="37"/>
      <c r="R179" s="38" t="str">
        <f>IF(O179&lt;0.25,"PROPOSTA VÁLIDA",((IF(L179&gt;P180,"PROPOSTA FORA DOS LIMITES",IF(L179&lt;Q180,"PROPOSTA FORA DOS LIMITES","PROPOSTA VÁLIDA")))))</f>
        <v>PROPOSTA VÁLIDA</v>
      </c>
      <c r="S179" s="38">
        <f t="shared" ref="S179:S181" si="32">(IF(R179="PROPOSTA VÁLIDA",L179,0))</f>
        <v>177.10083333333333</v>
      </c>
      <c r="T179" s="164">
        <f>IF(O179&lt;0.25,AVERAGE(S179:S181),((IF(L179&gt;P180,0,IF(L179&lt;Q180,0,L179)))+(IF(L180&gt;P180,0,IF(L180&lt;Q180,0,L180)))+(IF(L181&gt;P180,0,IF(L181&lt;Q180,0,L181))))/(((IF(L179&gt;P180,0,IF(L179&lt;Q180,0,1))))+((IF(L180&gt;P180,0,IF(L180&lt;Q180,0,1))))+((IF(L181&gt;P180,0,IF(L181&lt;Q180,0,1))))))</f>
        <v>170.26000000000002</v>
      </c>
      <c r="U179" s="167">
        <f>IFERROR(T179*E180,"")</f>
        <v>2043.1200000000003</v>
      </c>
    </row>
    <row r="180" spans="1:22" ht="19.899999999999999" customHeight="1" x14ac:dyDescent="0.2">
      <c r="A180" s="177"/>
      <c r="B180" s="189"/>
      <c r="C180" s="199"/>
      <c r="D180" s="109" t="s">
        <v>737</v>
      </c>
      <c r="E180" s="59">
        <v>12</v>
      </c>
      <c r="F180" s="10" t="s">
        <v>40</v>
      </c>
      <c r="G180" s="11" t="s">
        <v>289</v>
      </c>
      <c r="H180" s="12" t="s">
        <v>407</v>
      </c>
      <c r="I180" s="92">
        <v>147.59</v>
      </c>
      <c r="J180" s="20">
        <v>32.520000000000003</v>
      </c>
      <c r="K180" s="20">
        <f>J180/E180</f>
        <v>2.7100000000000004</v>
      </c>
      <c r="L180" s="20">
        <f t="shared" si="31"/>
        <v>150.30000000000001</v>
      </c>
      <c r="M180" s="171"/>
      <c r="N180" s="171"/>
      <c r="O180" s="174"/>
      <c r="P180" s="40" t="str">
        <f>IF(O179&gt;=0.25,N179+M179,"CV&lt;25%")</f>
        <v>CV&lt;25%</v>
      </c>
      <c r="Q180" s="40" t="str">
        <f>IF(O179&gt;=0.25,N179-M179,"CV&lt;25%")</f>
        <v>CV&lt;25%</v>
      </c>
      <c r="R180" s="41" t="str">
        <f>IF(O179&lt;0.25,"PROPOSTA VÁLIDA",((IF(L180&gt;P180,"PROPOSTA FORA DOS LIMITES",IF(L180&lt;Q180,"PROPOSTA FORA DOS LIMITES","PROPOSTA VÁLIDA")))))</f>
        <v>PROPOSTA VÁLIDA</v>
      </c>
      <c r="S180" s="41">
        <f t="shared" si="32"/>
        <v>150.30000000000001</v>
      </c>
      <c r="T180" s="165"/>
      <c r="U180" s="168"/>
      <c r="V180" s="13"/>
    </row>
    <row r="181" spans="1:22" ht="19.899999999999999" customHeight="1" thickBot="1" x14ac:dyDescent="0.25">
      <c r="A181" s="178"/>
      <c r="B181" s="190"/>
      <c r="C181" s="200"/>
      <c r="D181" s="100"/>
      <c r="E181" s="60"/>
      <c r="F181" s="14" t="s">
        <v>410</v>
      </c>
      <c r="G181" s="15" t="s">
        <v>228</v>
      </c>
      <c r="H181" s="16" t="s">
        <v>409</v>
      </c>
      <c r="I181" s="93">
        <v>179.9</v>
      </c>
      <c r="J181" s="43">
        <v>41.75</v>
      </c>
      <c r="K181" s="43">
        <f>J181/E180</f>
        <v>3.4791666666666665</v>
      </c>
      <c r="L181" s="43">
        <f t="shared" si="31"/>
        <v>183.37916666666666</v>
      </c>
      <c r="M181" s="172"/>
      <c r="N181" s="172"/>
      <c r="O181" s="175"/>
      <c r="P181" s="44"/>
      <c r="Q181" s="44"/>
      <c r="R181" s="45" t="str">
        <f>IF(O179&lt;0.25,"PROPOSTA VÁLIDA",((IF(L181&gt;P180,"PROPOSTA FORA DOS LIMITES",IF(L181&lt;Q180,"PROPOSTA FORA DOS LIMITES","PROPOSTA VÁLIDA")))))</f>
        <v>PROPOSTA VÁLIDA</v>
      </c>
      <c r="S181" s="45">
        <f t="shared" si="32"/>
        <v>183.37916666666666</v>
      </c>
      <c r="T181" s="166"/>
      <c r="U181" s="169"/>
    </row>
    <row r="182" spans="1:22" ht="19.899999999999999" customHeight="1" thickTop="1" x14ac:dyDescent="0.2">
      <c r="A182" s="176" t="s">
        <v>618</v>
      </c>
      <c r="B182" s="195" t="s">
        <v>412</v>
      </c>
      <c r="C182" s="198" t="s">
        <v>618</v>
      </c>
      <c r="D182" s="112"/>
      <c r="E182" s="58"/>
      <c r="F182" s="8" t="s">
        <v>236</v>
      </c>
      <c r="G182" s="19" t="s">
        <v>237</v>
      </c>
      <c r="H182" s="22" t="s">
        <v>411</v>
      </c>
      <c r="I182" s="91">
        <v>160</v>
      </c>
      <c r="J182" s="21">
        <v>24.77</v>
      </c>
      <c r="K182" s="21">
        <f>J182/E183</f>
        <v>24.77</v>
      </c>
      <c r="L182" s="21">
        <f t="shared" ref="L182:L184" si="33">I182+K182</f>
        <v>184.77</v>
      </c>
      <c r="M182" s="170">
        <f>_xlfn.STDEV.S(L182:L184)</f>
        <v>27.704074309266154</v>
      </c>
      <c r="N182" s="170">
        <f>(SUM(L182:L184))/((IF(L182=0,0,1))+(IF(L183=0,0,1))+(IF(L184=0,0,1)))</f>
        <v>186.10333333333332</v>
      </c>
      <c r="O182" s="173">
        <f>M182/N182</f>
        <v>0.1488639338858313</v>
      </c>
      <c r="P182" s="37"/>
      <c r="Q182" s="37"/>
      <c r="R182" s="38" t="str">
        <f>IF(O182&lt;0.25,"PROPOSTA VÁLIDA",((IF(L182&gt;P183,"PROPOSTA FORA DOS LIMITES",IF(L182&lt;Q183,"PROPOSTA FORA DOS LIMITES","PROPOSTA VÁLIDA")))))</f>
        <v>PROPOSTA VÁLIDA</v>
      </c>
      <c r="S182" s="38">
        <f t="shared" ref="S182:S184" si="34">(IF(R182="PROPOSTA VÁLIDA",L182,0))</f>
        <v>184.77</v>
      </c>
      <c r="T182" s="164">
        <f>IF(O182&lt;0.25,AVERAGE(S182:S184),((IF(L182&gt;P183,0,IF(L182&lt;Q183,0,L182)))+(IF(L183&gt;P183,0,IF(L183&lt;Q183,0,L183)))+(IF(L184&gt;P183,0,IF(L184&lt;Q183,0,L184))))/(((IF(L182&gt;P183,0,IF(L182&lt;Q183,0,1))))+((IF(L183&gt;P183,0,IF(L183&lt;Q183,0,1))))+((IF(L184&gt;P183,0,IF(L184&lt;Q183,0,1))))))</f>
        <v>186.10333333333332</v>
      </c>
      <c r="U182" s="167">
        <f>IFERROR(T182*E183,"")</f>
        <v>186.10333333333332</v>
      </c>
    </row>
    <row r="183" spans="1:22" ht="19.899999999999999" customHeight="1" x14ac:dyDescent="0.2">
      <c r="A183" s="177"/>
      <c r="B183" s="196"/>
      <c r="C183" s="199"/>
      <c r="D183" s="109" t="s">
        <v>737</v>
      </c>
      <c r="E183" s="59">
        <v>1</v>
      </c>
      <c r="F183" s="10" t="s">
        <v>899</v>
      </c>
      <c r="G183" s="11" t="s">
        <v>901</v>
      </c>
      <c r="H183" s="12" t="s">
        <v>900</v>
      </c>
      <c r="I183" s="92">
        <v>145.25</v>
      </c>
      <c r="J183" s="20">
        <v>13.84</v>
      </c>
      <c r="K183" s="20">
        <f>J183/E183</f>
        <v>13.84</v>
      </c>
      <c r="L183" s="20">
        <f t="shared" si="33"/>
        <v>159.09</v>
      </c>
      <c r="M183" s="171"/>
      <c r="N183" s="171"/>
      <c r="O183" s="174"/>
      <c r="P183" s="40" t="str">
        <f>IF(O182&gt;=0.25,N182+M182,"CV&lt;25%")</f>
        <v>CV&lt;25%</v>
      </c>
      <c r="Q183" s="40" t="str">
        <f>IF(O182&gt;=0.25,N182-M182,"CV&lt;25%")</f>
        <v>CV&lt;25%</v>
      </c>
      <c r="R183" s="41" t="str">
        <f>IF(O182&lt;0.25,"PROPOSTA VÁLIDA",((IF(L183&gt;P183,"PROPOSTA FORA DOS LIMITES",IF(L183&lt;Q183,"PROPOSTA FORA DOS LIMITES","PROPOSTA VÁLIDA")))))</f>
        <v>PROPOSTA VÁLIDA</v>
      </c>
      <c r="S183" s="41">
        <f t="shared" si="34"/>
        <v>159.09</v>
      </c>
      <c r="T183" s="165"/>
      <c r="U183" s="168"/>
      <c r="V183" s="13"/>
    </row>
    <row r="184" spans="1:22" ht="19.899999999999999" customHeight="1" thickBot="1" x14ac:dyDescent="0.25">
      <c r="A184" s="178"/>
      <c r="B184" s="197"/>
      <c r="C184" s="200"/>
      <c r="D184" s="100"/>
      <c r="E184" s="60"/>
      <c r="F184" s="14" t="s">
        <v>902</v>
      </c>
      <c r="G184" s="15" t="s">
        <v>903</v>
      </c>
      <c r="H184" s="16" t="s">
        <v>413</v>
      </c>
      <c r="I184" s="93">
        <v>193.41</v>
      </c>
      <c r="J184" s="43">
        <v>21.04</v>
      </c>
      <c r="K184" s="43">
        <f>J184/E183</f>
        <v>21.04</v>
      </c>
      <c r="L184" s="43">
        <f t="shared" si="33"/>
        <v>214.45</v>
      </c>
      <c r="M184" s="172"/>
      <c r="N184" s="172"/>
      <c r="O184" s="175"/>
      <c r="P184" s="44"/>
      <c r="Q184" s="44"/>
      <c r="R184" s="45" t="str">
        <f>IF(O182&lt;0.25,"PROPOSTA VÁLIDA",((IF(L184&gt;P183,"PROPOSTA FORA DOS LIMITES",IF(L184&lt;Q183,"PROPOSTA FORA DOS LIMITES","PROPOSTA VÁLIDA")))))</f>
        <v>PROPOSTA VÁLIDA</v>
      </c>
      <c r="S184" s="45">
        <f t="shared" si="34"/>
        <v>214.45</v>
      </c>
      <c r="T184" s="166"/>
      <c r="U184" s="169"/>
    </row>
    <row r="185" spans="1:22" ht="19.899999999999999" customHeight="1" thickTop="1" x14ac:dyDescent="0.2">
      <c r="A185" s="176" t="s">
        <v>619</v>
      </c>
      <c r="B185" s="188" t="s">
        <v>414</v>
      </c>
      <c r="C185" s="198" t="s">
        <v>619</v>
      </c>
      <c r="D185" s="112"/>
      <c r="E185" s="58"/>
      <c r="F185" s="8" t="s">
        <v>897</v>
      </c>
      <c r="G185" s="19" t="s">
        <v>898</v>
      </c>
      <c r="H185" s="22" t="s">
        <v>896</v>
      </c>
      <c r="I185" s="91">
        <v>362.78</v>
      </c>
      <c r="J185" s="21">
        <v>0</v>
      </c>
      <c r="K185" s="21">
        <f>J185/E186</f>
        <v>0</v>
      </c>
      <c r="L185" s="21">
        <f t="shared" ref="L185:L187" si="35">I185+K185</f>
        <v>362.78</v>
      </c>
      <c r="M185" s="170">
        <f>_xlfn.STDEV.S(L185:L187)</f>
        <v>84.254305577420368</v>
      </c>
      <c r="N185" s="170">
        <f>(SUM(L185:L187))/((IF(L185=0,0,1))+(IF(L186=0,0,1))+(IF(L187=0,0,1)))</f>
        <v>265.55166666666668</v>
      </c>
      <c r="O185" s="173">
        <f>M185/N185</f>
        <v>0.31728027406124493</v>
      </c>
      <c r="P185" s="37"/>
      <c r="Q185" s="37"/>
      <c r="R185" s="38" t="str">
        <f>IF(O185&lt;0.25,"PROPOSTA VÁLIDA",((IF(L185&gt;P186,"PROPOSTA FORA DOS LIMITES",IF(L185&lt;Q186,"PROPOSTA FORA DOS LIMITES","PROPOSTA VÁLIDA")))))</f>
        <v>PROPOSTA FORA DOS LIMITES</v>
      </c>
      <c r="S185" s="38">
        <f t="shared" ref="S185:S187" si="36">(IF(R185="PROPOSTA VÁLIDA",L185,0))</f>
        <v>0</v>
      </c>
      <c r="T185" s="164">
        <f>IF(O185&lt;0.25,AVERAGE(S185:S187),((IF(L185&gt;P186,0,IF(L185&lt;Q186,0,L185)))+(IF(L186&gt;P186,0,IF(L186&lt;Q186,0,L186)))+(IF(L187&gt;P186,0,IF(L187&lt;Q186,0,L187))))/(((IF(L185&gt;P186,0,IF(L185&lt;Q186,0,1))))+((IF(L186&gt;P186,0,IF(L186&lt;Q186,0,1))))+((IF(L187&gt;P186,0,IF(L187&lt;Q186,0,1))))))</f>
        <v>216.9375</v>
      </c>
      <c r="U185" s="167">
        <f>IFERROR(T185*E186,"")</f>
        <v>867.75</v>
      </c>
    </row>
    <row r="186" spans="1:22" ht="19.899999999999999" customHeight="1" x14ac:dyDescent="0.2">
      <c r="A186" s="177"/>
      <c r="B186" s="189"/>
      <c r="C186" s="199"/>
      <c r="D186" s="109" t="s">
        <v>737</v>
      </c>
      <c r="E186" s="59">
        <v>4</v>
      </c>
      <c r="F186" s="10" t="s">
        <v>703</v>
      </c>
      <c r="G186" s="11" t="s">
        <v>704</v>
      </c>
      <c r="H186" s="69" t="s">
        <v>702</v>
      </c>
      <c r="I186" s="92">
        <v>219.9</v>
      </c>
      <c r="J186" s="20">
        <v>0</v>
      </c>
      <c r="K186" s="20">
        <f>J186/E186</f>
        <v>0</v>
      </c>
      <c r="L186" s="20">
        <f t="shared" si="35"/>
        <v>219.9</v>
      </c>
      <c r="M186" s="171"/>
      <c r="N186" s="171"/>
      <c r="O186" s="174"/>
      <c r="P186" s="40">
        <f>IF(O185&gt;=0.25,N185+M185,"CV&lt;25%")</f>
        <v>349.80597224408706</v>
      </c>
      <c r="Q186" s="40">
        <f>IF(O185&gt;=0.25,N185-M185,"CV&lt;25%")</f>
        <v>181.29736108924629</v>
      </c>
      <c r="R186" s="41" t="str">
        <f>IF(O185&lt;0.25,"PROPOSTA VÁLIDA",((IF(L186&gt;P186,"PROPOSTA FORA DOS LIMITES",IF(L186&lt;Q186,"PROPOSTA FORA DOS LIMITES","PROPOSTA VÁLIDA")))))</f>
        <v>PROPOSTA VÁLIDA</v>
      </c>
      <c r="S186" s="41">
        <f t="shared" si="36"/>
        <v>219.9</v>
      </c>
      <c r="T186" s="165"/>
      <c r="U186" s="168"/>
      <c r="V186" s="13"/>
    </row>
    <row r="187" spans="1:22" ht="19.899999999999999" customHeight="1" thickBot="1" x14ac:dyDescent="0.25">
      <c r="A187" s="178"/>
      <c r="B187" s="190"/>
      <c r="C187" s="200"/>
      <c r="D187" s="100"/>
      <c r="E187" s="60"/>
      <c r="F187" s="14" t="s">
        <v>705</v>
      </c>
      <c r="G187" s="15" t="s">
        <v>706</v>
      </c>
      <c r="H187" s="70" t="s">
        <v>707</v>
      </c>
      <c r="I187" s="93">
        <v>207.48</v>
      </c>
      <c r="J187" s="43">
        <v>25.98</v>
      </c>
      <c r="K187" s="43">
        <f>J187/E186</f>
        <v>6.4950000000000001</v>
      </c>
      <c r="L187" s="43">
        <f t="shared" si="35"/>
        <v>213.97499999999999</v>
      </c>
      <c r="M187" s="172"/>
      <c r="N187" s="172"/>
      <c r="O187" s="175"/>
      <c r="P187" s="44"/>
      <c r="Q187" s="44"/>
      <c r="R187" s="45" t="str">
        <f>IF(O185&lt;0.25,"PROPOSTA VÁLIDA",((IF(L187&gt;P186,"PROPOSTA FORA DOS LIMITES",IF(L187&lt;Q186,"PROPOSTA FORA DOS LIMITES","PROPOSTA VÁLIDA")))))</f>
        <v>PROPOSTA VÁLIDA</v>
      </c>
      <c r="S187" s="45">
        <f t="shared" si="36"/>
        <v>213.97499999999999</v>
      </c>
      <c r="T187" s="166"/>
      <c r="U187" s="169"/>
    </row>
    <row r="188" spans="1:22" ht="20.100000000000001" customHeight="1" thickTop="1" x14ac:dyDescent="0.2">
      <c r="A188" s="176" t="s">
        <v>623</v>
      </c>
      <c r="B188" s="222" t="s">
        <v>491</v>
      </c>
      <c r="C188" s="198" t="s">
        <v>775</v>
      </c>
      <c r="D188" s="232" t="s">
        <v>737</v>
      </c>
      <c r="E188" s="58"/>
      <c r="F188" s="8" t="s">
        <v>306</v>
      </c>
      <c r="G188" s="19" t="s">
        <v>495</v>
      </c>
      <c r="H188" s="22" t="s">
        <v>490</v>
      </c>
      <c r="I188" s="91">
        <v>37.64</v>
      </c>
      <c r="J188" s="21">
        <v>10.130000000000001</v>
      </c>
      <c r="K188" s="21">
        <f>J188/E189</f>
        <v>0.77923076923076928</v>
      </c>
      <c r="L188" s="21">
        <f t="shared" ref="L188:L241" si="37">I188+K188</f>
        <v>38.419230769230772</v>
      </c>
      <c r="M188" s="170">
        <f>_xlfn.STDEV.S(L188:L190)</f>
        <v>23.695739341053109</v>
      </c>
      <c r="N188" s="170">
        <f>(SUM(L188:L190))/((IF(L188=0,0,1))+(IF(L189=0,0,1))+(IF(L190=0,0,1)))</f>
        <v>55.93897435897437</v>
      </c>
      <c r="O188" s="173">
        <f>M188/N188</f>
        <v>0.42359981770476574</v>
      </c>
      <c r="P188" s="37"/>
      <c r="Q188" s="37"/>
      <c r="R188" s="38" t="str">
        <f>IF(O188&lt;0.25,"PROPOSTA VÁLIDA",((IF(L188&gt;P189,"PROPOSTA FORA DOS LIMITES",IF(L188&lt;Q189,"PROPOSTA FORA DOS LIMITES","PROPOSTA VÁLIDA")))))</f>
        <v>PROPOSTA VÁLIDA</v>
      </c>
      <c r="S188" s="38">
        <f t="shared" ref="S188:S190" si="38">(IF(R188="PROPOSTA VÁLIDA",L188,0))</f>
        <v>38.419230769230772</v>
      </c>
      <c r="T188" s="164">
        <f>IF(O188&lt;0.25,AVERAGE(S188:S190),((IF(L188&gt;P189,0,IF(L188&lt;Q189,0,L188)))+(IF(L189&gt;P189,0,IF(L189&lt;Q189,0,L189)))+(IF(L190&gt;P189,0,IF(L190&lt;Q189,0,L190))))/(((IF(L188&gt;P189,0,IF(L188&lt;Q189,0,1))))+((IF(L189&gt;P189,0,IF(L189&lt;Q189,0,1))))+((IF(L190&gt;P189,0,IF(L190&lt;Q189,0,1))))))</f>
        <v>42.458461538461542</v>
      </c>
      <c r="U188" s="167">
        <f>IFERROR(T188*E189,"")</f>
        <v>551.96</v>
      </c>
    </row>
    <row r="189" spans="1:22" ht="20.100000000000001" customHeight="1" x14ac:dyDescent="0.2">
      <c r="A189" s="177"/>
      <c r="B189" s="223"/>
      <c r="C189" s="199"/>
      <c r="D189" s="233"/>
      <c r="E189" s="59">
        <v>13</v>
      </c>
      <c r="F189" s="10" t="s">
        <v>669</v>
      </c>
      <c r="G189" s="11" t="s">
        <v>670</v>
      </c>
      <c r="H189" s="12" t="s">
        <v>671</v>
      </c>
      <c r="I189" s="92">
        <v>82.9</v>
      </c>
      <c r="J189" s="20">
        <v>0</v>
      </c>
      <c r="K189" s="20">
        <f>J189/E189</f>
        <v>0</v>
      </c>
      <c r="L189" s="20">
        <f t="shared" si="37"/>
        <v>82.9</v>
      </c>
      <c r="M189" s="171"/>
      <c r="N189" s="171"/>
      <c r="O189" s="174"/>
      <c r="P189" s="40">
        <f>IF(O188&gt;=0.25,N188+M188,"CV&lt;25%")</f>
        <v>79.634713700027476</v>
      </c>
      <c r="Q189" s="40">
        <f>IF(O188&gt;=0.25,N188-M188,"CV&lt;25%")</f>
        <v>32.243235017921265</v>
      </c>
      <c r="R189" s="41" t="str">
        <f>IF(O188&lt;0.25,"PROPOSTA VÁLIDA",((IF(L189&gt;P189,"PROPOSTA FORA DOS LIMITES",IF(L189&lt;Q189,"PROPOSTA FORA DOS LIMITES","PROPOSTA VÁLIDA")))))</f>
        <v>PROPOSTA FORA DOS LIMITES</v>
      </c>
      <c r="S189" s="41">
        <f t="shared" si="38"/>
        <v>0</v>
      </c>
      <c r="T189" s="165"/>
      <c r="U189" s="168"/>
      <c r="V189" s="13"/>
    </row>
    <row r="190" spans="1:22" ht="20.100000000000001" customHeight="1" thickBot="1" x14ac:dyDescent="0.25">
      <c r="A190" s="178"/>
      <c r="B190" s="224"/>
      <c r="C190" s="200"/>
      <c r="D190" s="234"/>
      <c r="E190" s="60"/>
      <c r="F190" s="14" t="s">
        <v>757</v>
      </c>
      <c r="G190" s="15" t="s">
        <v>776</v>
      </c>
      <c r="H190" s="12" t="s">
        <v>777</v>
      </c>
      <c r="I190" s="93">
        <v>44.99</v>
      </c>
      <c r="J190" s="43">
        <v>19.600000000000001</v>
      </c>
      <c r="K190" s="43">
        <f>J190/E189</f>
        <v>1.5076923076923079</v>
      </c>
      <c r="L190" s="43">
        <f t="shared" si="37"/>
        <v>46.497692307692311</v>
      </c>
      <c r="M190" s="172"/>
      <c r="N190" s="172"/>
      <c r="O190" s="175"/>
      <c r="P190" s="44"/>
      <c r="Q190" s="44"/>
      <c r="R190" s="45" t="str">
        <f>IF(O188&lt;0.25,"PROPOSTA VÁLIDA",((IF(L190&gt;P189,"PROPOSTA FORA DOS LIMITES",IF(L190&lt;Q189,"PROPOSTA FORA DOS LIMITES","PROPOSTA VÁLIDA")))))</f>
        <v>PROPOSTA VÁLIDA</v>
      </c>
      <c r="S190" s="45">
        <f t="shared" si="38"/>
        <v>46.497692307692311</v>
      </c>
      <c r="T190" s="166"/>
      <c r="U190" s="169"/>
    </row>
    <row r="191" spans="1:22" ht="20.100000000000001" customHeight="1" thickTop="1" thickBot="1" x14ac:dyDescent="0.25">
      <c r="A191" s="176" t="s">
        <v>578</v>
      </c>
      <c r="B191" s="222" t="s">
        <v>400</v>
      </c>
      <c r="C191" s="198" t="s">
        <v>778</v>
      </c>
      <c r="D191" s="232" t="s">
        <v>737</v>
      </c>
      <c r="E191" s="58"/>
      <c r="F191" s="8" t="s">
        <v>669</v>
      </c>
      <c r="G191" s="19" t="s">
        <v>670</v>
      </c>
      <c r="H191" s="22" t="s">
        <v>671</v>
      </c>
      <c r="I191" s="91">
        <v>82.9</v>
      </c>
      <c r="J191" s="21">
        <v>0</v>
      </c>
      <c r="K191" s="21">
        <f>J191/E192</f>
        <v>0</v>
      </c>
      <c r="L191" s="21">
        <f t="shared" ref="L191:L198" si="39">I191+K191</f>
        <v>82.9</v>
      </c>
      <c r="M191" s="170">
        <f>_xlfn.STDEV.S(L191:L193)</f>
        <v>24.236588206353506</v>
      </c>
      <c r="N191" s="170">
        <f>(SUM(L191:L193))/((IF(L191=0,0,1))+(IF(L192=0,0,1))+(IF(L193=0,0,1)))</f>
        <v>55.22490476190476</v>
      </c>
      <c r="O191" s="173">
        <f>M191/N191</f>
        <v>0.43887062025451218</v>
      </c>
      <c r="P191" s="37"/>
      <c r="Q191" s="37"/>
      <c r="R191" s="38" t="str">
        <f>IF(O191&lt;0.25,"PROPOSTA VÁLIDA",((IF(L191&gt;P192,"PROPOSTA FORA DOS LIMITES",IF(L191&lt;Q192,"PROPOSTA FORA DOS LIMITES","PROPOSTA VÁLIDA")))))</f>
        <v>PROPOSTA FORA DOS LIMITES</v>
      </c>
      <c r="S191" s="38">
        <f t="shared" ref="S191:S199" si="40">(IF(R191="PROPOSTA VÁLIDA",L191,0))</f>
        <v>0</v>
      </c>
      <c r="T191" s="164">
        <f>IF(O191&lt;0.25,AVERAGE(S191:S193),((IF(L191&gt;P192,0,IF(L191&lt;Q192,0,L191)))+(IF(L192&gt;P192,0,IF(L192&lt;Q192,0,L192)))+(IF(L193&gt;P192,0,IF(L193&lt;Q192,0,L193))))/(((IF(L191&gt;P192,0,IF(L191&lt;Q192,0,1))))+((IF(L192&gt;P192,0,IF(L192&lt;Q192,0,1))))+((IF(L193&gt;P192,0,IF(L193&lt;Q192,0,1))))))</f>
        <v>41.387357142857141</v>
      </c>
      <c r="U191" s="167">
        <f>IFERROR(T191*E192,"")</f>
        <v>2897.1149999999998</v>
      </c>
    </row>
    <row r="192" spans="1:22" ht="20.100000000000001" customHeight="1" thickTop="1" x14ac:dyDescent="0.2">
      <c r="A192" s="177"/>
      <c r="B192" s="223"/>
      <c r="C192" s="199"/>
      <c r="D192" s="233"/>
      <c r="E192" s="59">
        <v>70</v>
      </c>
      <c r="F192" s="10" t="s">
        <v>306</v>
      </c>
      <c r="G192" s="11" t="s">
        <v>495</v>
      </c>
      <c r="H192" s="12" t="s">
        <v>490</v>
      </c>
      <c r="I192" s="91">
        <v>37.64</v>
      </c>
      <c r="J192" s="21">
        <v>10.130000000000001</v>
      </c>
      <c r="K192" s="20">
        <f>J192/E192</f>
        <v>0.14471428571428571</v>
      </c>
      <c r="L192" s="20">
        <f t="shared" si="39"/>
        <v>37.784714285714287</v>
      </c>
      <c r="M192" s="171"/>
      <c r="N192" s="171"/>
      <c r="O192" s="174"/>
      <c r="P192" s="40">
        <f>IF(O191&gt;=0.25,N191+M191,"CV&lt;25%")</f>
        <v>79.46149296825827</v>
      </c>
      <c r="Q192" s="40">
        <f>IF(O191&gt;=0.25,N191-M191,"CV&lt;25%")</f>
        <v>30.988316555551254</v>
      </c>
      <c r="R192" s="41" t="str">
        <f>IF(O191&lt;0.25,"PROPOSTA VÁLIDA",((IF(L192&gt;P192,"PROPOSTA FORA DOS LIMITES",IF(L192&lt;Q192,"PROPOSTA FORA DOS LIMITES","PROPOSTA VÁLIDA")))))</f>
        <v>PROPOSTA VÁLIDA</v>
      </c>
      <c r="S192" s="41">
        <f t="shared" si="40"/>
        <v>37.784714285714287</v>
      </c>
      <c r="T192" s="165"/>
      <c r="U192" s="168"/>
      <c r="V192" s="13"/>
    </row>
    <row r="193" spans="1:22" ht="34.5" customHeight="1" thickBot="1" x14ac:dyDescent="0.25">
      <c r="A193" s="178"/>
      <c r="B193" s="224"/>
      <c r="C193" s="200"/>
      <c r="D193" s="234"/>
      <c r="E193" s="60"/>
      <c r="F193" s="14" t="s">
        <v>757</v>
      </c>
      <c r="G193" s="15" t="s">
        <v>776</v>
      </c>
      <c r="H193" s="12" t="s">
        <v>777</v>
      </c>
      <c r="I193" s="93">
        <v>44.99</v>
      </c>
      <c r="J193" s="43">
        <v>0</v>
      </c>
      <c r="K193" s="43">
        <f>J193/E192</f>
        <v>0</v>
      </c>
      <c r="L193" s="43">
        <f t="shared" si="39"/>
        <v>44.99</v>
      </c>
      <c r="M193" s="172"/>
      <c r="N193" s="172"/>
      <c r="O193" s="175"/>
      <c r="P193" s="44"/>
      <c r="Q193" s="44"/>
      <c r="R193" s="45" t="str">
        <f>IF(O191&lt;0.25,"PROPOSTA VÁLIDA",((IF(L193&gt;P192,"PROPOSTA FORA DOS LIMITES",IF(L193&lt;Q192,"PROPOSTA FORA DOS LIMITES","PROPOSTA VÁLIDA")))))</f>
        <v>PROPOSTA VÁLIDA</v>
      </c>
      <c r="S193" s="45">
        <f t="shared" si="40"/>
        <v>44.99</v>
      </c>
      <c r="T193" s="166"/>
      <c r="U193" s="169"/>
    </row>
    <row r="194" spans="1:22" ht="20.100000000000001" customHeight="1" thickTop="1" x14ac:dyDescent="0.2">
      <c r="A194" s="176" t="s">
        <v>558</v>
      </c>
      <c r="B194" s="195" t="s">
        <v>355</v>
      </c>
      <c r="C194" s="198" t="s">
        <v>550</v>
      </c>
      <c r="D194" s="232" t="s">
        <v>737</v>
      </c>
      <c r="E194" s="58"/>
      <c r="F194" s="8" t="s">
        <v>511</v>
      </c>
      <c r="G194" s="19" t="s">
        <v>510</v>
      </c>
      <c r="H194" s="22" t="s">
        <v>354</v>
      </c>
      <c r="I194" s="91">
        <v>1190.99</v>
      </c>
      <c r="J194" s="21">
        <v>0</v>
      </c>
      <c r="K194" s="21">
        <f>J194/E195</f>
        <v>0</v>
      </c>
      <c r="L194" s="21">
        <f t="shared" si="39"/>
        <v>1190.99</v>
      </c>
      <c r="M194" s="170">
        <f>_xlfn.STDEV.S(L194:L196)</f>
        <v>398.87725540030658</v>
      </c>
      <c r="N194" s="170">
        <f>(SUM(L194:L196))/((IF(L194=0,0,1))+(IF(L195=0,0,1))+(IF(L196=0,0,1)))</f>
        <v>1427.0345238095235</v>
      </c>
      <c r="O194" s="173">
        <f>M194/N194</f>
        <v>0.27951479010857311</v>
      </c>
      <c r="P194" s="37"/>
      <c r="Q194" s="37"/>
      <c r="R194" s="38" t="str">
        <f>IF(O194&lt;0.25,"PROPOSTA VÁLIDA",((IF(L194&gt;P195,"PROPOSTA FORA DOS LIMITES",IF(L194&lt;Q195,"PROPOSTA FORA DOS LIMITES","PROPOSTA VÁLIDA")))))</f>
        <v>PROPOSTA VÁLIDA</v>
      </c>
      <c r="S194" s="38">
        <f t="shared" si="40"/>
        <v>1190.99</v>
      </c>
      <c r="T194" s="164">
        <f>IF(O194&lt;0.25,AVERAGE(S194:S196),((IF(L194&gt;P195,0,IF(L194&lt;Q195,0,L194)))+(IF(L195&gt;P195,0,IF(L195&lt;Q195,0,L195)))+(IF(L196&gt;P195,0,IF(L196&lt;Q195,0,L196))))/(((IF(L194&gt;P195,0,IF(L194&lt;Q195,0,1))))+((IF(L195&gt;P195,0,IF(L195&lt;Q195,0,1))))+((IF(L196&gt;P195,0,IF(L196&lt;Q195,0,1))))))</f>
        <v>1196.7667857142856</v>
      </c>
      <c r="U194" s="167">
        <f>IFERROR(T194*E195,"")</f>
        <v>33509.469999999994</v>
      </c>
    </row>
    <row r="195" spans="1:22" ht="20.100000000000001" customHeight="1" x14ac:dyDescent="0.2">
      <c r="A195" s="177"/>
      <c r="B195" s="196"/>
      <c r="C195" s="199"/>
      <c r="D195" s="233"/>
      <c r="E195" s="59">
        <v>28</v>
      </c>
      <c r="F195" s="10" t="s">
        <v>357</v>
      </c>
      <c r="G195" s="11" t="s">
        <v>512</v>
      </c>
      <c r="H195" s="12" t="s">
        <v>356</v>
      </c>
      <c r="I195" s="92">
        <v>1199.99</v>
      </c>
      <c r="J195" s="20">
        <v>71.5</v>
      </c>
      <c r="K195" s="20">
        <f>J195/E195</f>
        <v>2.5535714285714284</v>
      </c>
      <c r="L195" s="20">
        <f t="shared" si="39"/>
        <v>1202.5435714285713</v>
      </c>
      <c r="M195" s="171"/>
      <c r="N195" s="171"/>
      <c r="O195" s="174"/>
      <c r="P195" s="40">
        <f>IF(O194&gt;=0.25,N194+M194,"CV&lt;25%")</f>
        <v>1825.91177920983</v>
      </c>
      <c r="Q195" s="40">
        <f>IF(O194&gt;=0.25,N194-M194,"CV&lt;25%")</f>
        <v>1028.1572684092171</v>
      </c>
      <c r="R195" s="41" t="str">
        <f>IF(O194&lt;0.25,"PROPOSTA VÁLIDA",((IF(L195&gt;P195,"PROPOSTA FORA DOS LIMITES",IF(L195&lt;Q195,"PROPOSTA FORA DOS LIMITES","PROPOSTA VÁLIDA")))))</f>
        <v>PROPOSTA VÁLIDA</v>
      </c>
      <c r="S195" s="41">
        <f t="shared" si="40"/>
        <v>1202.5435714285713</v>
      </c>
      <c r="T195" s="165"/>
      <c r="U195" s="168"/>
      <c r="V195" s="13"/>
    </row>
    <row r="196" spans="1:22" ht="20.100000000000001" customHeight="1" thickBot="1" x14ac:dyDescent="0.25">
      <c r="A196" s="178"/>
      <c r="B196" s="197"/>
      <c r="C196" s="200"/>
      <c r="D196" s="234"/>
      <c r="E196" s="60"/>
      <c r="F196" s="14" t="s">
        <v>780</v>
      </c>
      <c r="G196" s="15" t="s">
        <v>781</v>
      </c>
      <c r="H196" s="70" t="s">
        <v>779</v>
      </c>
      <c r="I196" s="93">
        <v>1887.57</v>
      </c>
      <c r="J196" s="43">
        <v>0</v>
      </c>
      <c r="K196" s="43">
        <f>J196/E195</f>
        <v>0</v>
      </c>
      <c r="L196" s="43">
        <f t="shared" si="39"/>
        <v>1887.57</v>
      </c>
      <c r="M196" s="172"/>
      <c r="N196" s="172"/>
      <c r="O196" s="175"/>
      <c r="P196" s="44"/>
      <c r="Q196" s="44"/>
      <c r="R196" s="45" t="str">
        <f>IF(O194&lt;0.25,"PROPOSTA VÁLIDA",((IF(L196&gt;P195,"PROPOSTA FORA DOS LIMITES",IF(L196&lt;Q195,"PROPOSTA FORA DOS LIMITES","PROPOSTA VÁLIDA")))))</f>
        <v>PROPOSTA FORA DOS LIMITES</v>
      </c>
      <c r="S196" s="45">
        <f t="shared" si="40"/>
        <v>0</v>
      </c>
      <c r="T196" s="166"/>
      <c r="U196" s="169"/>
    </row>
    <row r="197" spans="1:22" s="76" customFormat="1" ht="20.100000000000001" customHeight="1" thickTop="1" x14ac:dyDescent="0.2">
      <c r="A197" s="235" t="s">
        <v>722</v>
      </c>
      <c r="B197" s="238" t="s">
        <v>717</v>
      </c>
      <c r="C197" s="198" t="s">
        <v>551</v>
      </c>
      <c r="D197" s="232" t="s">
        <v>737</v>
      </c>
      <c r="E197" s="72"/>
      <c r="F197" s="73" t="s">
        <v>174</v>
      </c>
      <c r="G197" s="19" t="s">
        <v>129</v>
      </c>
      <c r="H197" s="71" t="s">
        <v>718</v>
      </c>
      <c r="I197" s="91">
        <v>20.92</v>
      </c>
      <c r="J197" s="21">
        <v>18.27</v>
      </c>
      <c r="K197" s="21">
        <f>J197/E198</f>
        <v>18.27</v>
      </c>
      <c r="L197" s="21">
        <f t="shared" si="39"/>
        <v>39.19</v>
      </c>
      <c r="M197" s="170">
        <f>_xlfn.STDEV.S(L197:L199)</f>
        <v>17.150472296703654</v>
      </c>
      <c r="N197" s="170">
        <f>(SUM(L197:L199))/((IF(L197=0,0,1))+(IF(L198=0,0,1))+(IF(L199=0,0,1)))</f>
        <v>38.01</v>
      </c>
      <c r="O197" s="226">
        <f>M197/N197</f>
        <v>0.45120947899772834</v>
      </c>
      <c r="P197" s="74"/>
      <c r="Q197" s="74"/>
      <c r="R197" s="75" t="str">
        <f>IF(O197&lt;0.25,"PROPOSTA VÁLIDA",((IF(L197&gt;P198,"PROPOSTA FORA DOS LIMITES",IF(L197&lt;Q198,"PROPOSTA FORA DOS LIMITES","PROPOSTA VÁLIDA")))))</f>
        <v>PROPOSTA VÁLIDA</v>
      </c>
      <c r="S197" s="75">
        <f t="shared" si="40"/>
        <v>39.19</v>
      </c>
      <c r="T197" s="164">
        <f>IF(O197&lt;0.25,AVERAGE(S197:S199),((IF(L197&gt;P198,0,IF(L197&lt;Q198,0,L197)))+(IF(L198&gt;P198,0,IF(L198&lt;Q198,0,L198)))+(IF(L199&gt;P198,0,IF(L199&lt;Q198,0,L199))))/(((IF(L197&gt;P198,0,IF(L197&lt;Q198,0,1))))+((IF(L198&gt;P198,0,IF(L198&lt;Q198,0,1))))+((IF(L199&gt;P198,0,IF(L199&lt;Q198,0,1))))))</f>
        <v>46.864999999999995</v>
      </c>
      <c r="U197" s="229">
        <f>IFERROR(T197*E198,"")</f>
        <v>46.864999999999995</v>
      </c>
    </row>
    <row r="198" spans="1:22" s="76" customFormat="1" ht="19.899999999999999" customHeight="1" x14ac:dyDescent="0.2">
      <c r="A198" s="236"/>
      <c r="B198" s="239"/>
      <c r="C198" s="199"/>
      <c r="D198" s="233"/>
      <c r="E198" s="77">
        <v>1</v>
      </c>
      <c r="F198" s="78" t="s">
        <v>725</v>
      </c>
      <c r="G198" s="79" t="s">
        <v>723</v>
      </c>
      <c r="H198" s="80" t="s">
        <v>719</v>
      </c>
      <c r="I198" s="92">
        <v>12.9</v>
      </c>
      <c r="J198" s="20">
        <v>7.4</v>
      </c>
      <c r="K198" s="20">
        <f>J198/E198</f>
        <v>7.4</v>
      </c>
      <c r="L198" s="20">
        <f t="shared" si="39"/>
        <v>20.3</v>
      </c>
      <c r="M198" s="171"/>
      <c r="N198" s="171"/>
      <c r="O198" s="227"/>
      <c r="P198" s="81">
        <f>IF(O197&gt;=0.25,N197+M197,"CV&lt;25%")</f>
        <v>55.160472296703652</v>
      </c>
      <c r="Q198" s="81">
        <f>IF(O197&gt;=0.25,N197-M197,"CV&lt;25%")</f>
        <v>20.859527703296344</v>
      </c>
      <c r="R198" s="82" t="str">
        <f>IF(O197&lt;0.25,"PROPOSTA VÁLIDA",((IF(L198&gt;P198,"PROPOSTA FORA DOS LIMITES",IF(L198&lt;Q198,"PROPOSTA FORA DOS LIMITES","PROPOSTA VÁLIDA")))))</f>
        <v>PROPOSTA FORA DOS LIMITES</v>
      </c>
      <c r="S198" s="82">
        <f t="shared" si="40"/>
        <v>0</v>
      </c>
      <c r="T198" s="165"/>
      <c r="U198" s="230"/>
      <c r="V198" s="83"/>
    </row>
    <row r="199" spans="1:22" s="76" customFormat="1" ht="19.899999999999999" customHeight="1" thickBot="1" x14ac:dyDescent="0.25">
      <c r="A199" s="237"/>
      <c r="B199" s="240"/>
      <c r="C199" s="200"/>
      <c r="D199" s="234"/>
      <c r="E199" s="84"/>
      <c r="F199" s="85" t="s">
        <v>720</v>
      </c>
      <c r="G199" s="86" t="s">
        <v>724</v>
      </c>
      <c r="H199" s="87" t="s">
        <v>721</v>
      </c>
      <c r="I199" s="93">
        <v>33.9</v>
      </c>
      <c r="J199" s="43">
        <v>20.64</v>
      </c>
      <c r="K199" s="43">
        <f>J199/E198</f>
        <v>20.64</v>
      </c>
      <c r="L199" s="43">
        <f>I199+K199</f>
        <v>54.54</v>
      </c>
      <c r="M199" s="172"/>
      <c r="N199" s="172"/>
      <c r="O199" s="228"/>
      <c r="P199" s="88"/>
      <c r="Q199" s="88"/>
      <c r="R199" s="89" t="str">
        <f>IF(O197&lt;0.25,"PROPOSTA VÁLIDA",((IF(L199&gt;P198,"PROPOSTA FORA DOS LIMITES",IF(L199&lt;Q198,"PROPOSTA FORA DOS LIMITES","PROPOSTA VÁLIDA")))))</f>
        <v>PROPOSTA VÁLIDA</v>
      </c>
      <c r="S199" s="89">
        <f t="shared" si="40"/>
        <v>54.54</v>
      </c>
      <c r="T199" s="166"/>
      <c r="U199" s="231"/>
    </row>
    <row r="200" spans="1:22" ht="20.100000000000001" customHeight="1" thickTop="1" x14ac:dyDescent="0.2">
      <c r="A200" s="176" t="s">
        <v>579</v>
      </c>
      <c r="B200" s="179" t="s">
        <v>635</v>
      </c>
      <c r="C200" s="198" t="s">
        <v>782</v>
      </c>
      <c r="D200" s="103"/>
      <c r="E200" s="58"/>
      <c r="F200" s="8" t="s">
        <v>643</v>
      </c>
      <c r="G200" s="19" t="s">
        <v>644</v>
      </c>
      <c r="H200" s="12" t="s">
        <v>810</v>
      </c>
      <c r="I200" s="91">
        <v>453.68</v>
      </c>
      <c r="J200" s="21">
        <v>0</v>
      </c>
      <c r="K200" s="21">
        <f>J200/E201</f>
        <v>0</v>
      </c>
      <c r="L200" s="21">
        <f t="shared" ref="L200:L202" si="41">I200+K200</f>
        <v>453.68</v>
      </c>
      <c r="M200" s="170">
        <f>_xlfn.STDEV.S(L200:L202)</f>
        <v>150.41688715851791</v>
      </c>
      <c r="N200" s="170">
        <f>(SUM(L200:L202))/((IF(L200=0,0,1))+(IF(L201=0,0,1))+(IF(L202=0,0,1)))</f>
        <v>333.71210303030301</v>
      </c>
      <c r="O200" s="173">
        <f>M200/N200</f>
        <v>0.45073848323942622</v>
      </c>
      <c r="P200" s="37"/>
      <c r="Q200" s="37"/>
      <c r="R200" s="38" t="str">
        <f>IF(O200&lt;0.25,"PROPOSTA VÁLIDA",((IF(L200&gt;P201,"PROPOSTA FORA DOS LIMITES",IF(L200&lt;Q201,"PROPOSTA FORA DOS LIMITES","PROPOSTA VÁLIDA")))))</f>
        <v>PROPOSTA VÁLIDA</v>
      </c>
      <c r="S200" s="38">
        <f t="shared" ref="S200:S202" si="42">(IF(R200="PROPOSTA VÁLIDA",L200,0))</f>
        <v>453.68</v>
      </c>
      <c r="T200" s="164">
        <f>IF(O200&lt;0.25,AVERAGE(S200:S202),((IF(L200&gt;P201,0,IF(L200&lt;Q201,0,L200)))+(IF(L201&gt;P201,0,IF(L201&lt;Q201,0,L201)))+(IF(L202&gt;P201,0,IF(L202&lt;Q201,0,L202))))/(((IF(L200&gt;P201,0,IF(L200&lt;Q201,0,1))))+((IF(L201&gt;P201,0,IF(L201&lt;Q201,0,1))))+((IF(L202&gt;P201,0,IF(L202&lt;Q201,0,1))))))</f>
        <v>418.08931818181816</v>
      </c>
      <c r="U200" s="167">
        <f>IFERROR(T200*E201,"")</f>
        <v>9197.9650000000001</v>
      </c>
    </row>
    <row r="201" spans="1:22" ht="20.100000000000001" customHeight="1" x14ac:dyDescent="0.2">
      <c r="A201" s="177"/>
      <c r="B201" s="180"/>
      <c r="C201" s="199"/>
      <c r="D201" s="104"/>
      <c r="E201" s="59">
        <v>22</v>
      </c>
      <c r="F201" s="10" t="s">
        <v>645</v>
      </c>
      <c r="G201" s="11" t="s">
        <v>648</v>
      </c>
      <c r="H201" s="12" t="s">
        <v>852</v>
      </c>
      <c r="I201" s="92">
        <v>164.36</v>
      </c>
      <c r="J201" s="20">
        <f>I201*0.08</f>
        <v>13.148800000000001</v>
      </c>
      <c r="K201" s="20">
        <f>J201/E201</f>
        <v>0.59767272727272736</v>
      </c>
      <c r="L201" s="20">
        <f t="shared" si="41"/>
        <v>164.95767272727275</v>
      </c>
      <c r="M201" s="171"/>
      <c r="N201" s="171"/>
      <c r="O201" s="174"/>
      <c r="P201" s="40">
        <f>IF(O200&gt;=0.25,N200+M200,"CV&lt;25%")</f>
        <v>484.12899018882092</v>
      </c>
      <c r="Q201" s="40">
        <f>IF(O200&gt;=0.25,N200-M200,"CV&lt;25%")</f>
        <v>183.2952158717851</v>
      </c>
      <c r="R201" s="41" t="str">
        <f>IF(O200&lt;0.25,"PROPOSTA VÁLIDA",((IF(L201&gt;P201,"PROPOSTA FORA DOS LIMITES",IF(L201&lt;Q201,"PROPOSTA FORA DOS LIMITES","PROPOSTA VÁLIDA")))))</f>
        <v>PROPOSTA FORA DOS LIMITES</v>
      </c>
      <c r="S201" s="41">
        <f t="shared" si="42"/>
        <v>0</v>
      </c>
      <c r="T201" s="165"/>
      <c r="U201" s="168"/>
      <c r="V201" s="13"/>
    </row>
    <row r="202" spans="1:22" ht="20.100000000000001" customHeight="1" thickBot="1" x14ac:dyDescent="0.25">
      <c r="A202" s="178"/>
      <c r="B202" s="181"/>
      <c r="C202" s="200"/>
      <c r="D202" s="111"/>
      <c r="E202" s="60"/>
      <c r="F202" s="14" t="s">
        <v>646</v>
      </c>
      <c r="G202" s="15" t="s">
        <v>647</v>
      </c>
      <c r="H202" s="16" t="s">
        <v>809</v>
      </c>
      <c r="I202" s="93">
        <f>8414.97/22</f>
        <v>382.49863636363631</v>
      </c>
      <c r="J202" s="43">
        <v>0</v>
      </c>
      <c r="K202" s="43">
        <f>J202/E201</f>
        <v>0</v>
      </c>
      <c r="L202" s="43">
        <f t="shared" si="41"/>
        <v>382.49863636363631</v>
      </c>
      <c r="M202" s="172"/>
      <c r="N202" s="172"/>
      <c r="O202" s="175"/>
      <c r="P202" s="44"/>
      <c r="Q202" s="44"/>
      <c r="R202" s="45" t="str">
        <f>IF(O200&lt;0.25,"PROPOSTA VÁLIDA",((IF(L202&gt;P201,"PROPOSTA FORA DOS LIMITES",IF(L202&lt;Q201,"PROPOSTA FORA DOS LIMITES","PROPOSTA VÁLIDA")))))</f>
        <v>PROPOSTA VÁLIDA</v>
      </c>
      <c r="S202" s="45">
        <f t="shared" si="42"/>
        <v>382.49863636363631</v>
      </c>
      <c r="T202" s="166"/>
      <c r="U202" s="169"/>
    </row>
    <row r="203" spans="1:22" ht="19.899999999999999" customHeight="1" thickTop="1" x14ac:dyDescent="0.2">
      <c r="A203" s="176" t="s">
        <v>576</v>
      </c>
      <c r="B203" s="182" t="s">
        <v>636</v>
      </c>
      <c r="C203" s="198" t="s">
        <v>783</v>
      </c>
      <c r="D203" s="103"/>
      <c r="E203" s="58"/>
      <c r="F203" s="8" t="s">
        <v>643</v>
      </c>
      <c r="G203" s="19" t="s">
        <v>644</v>
      </c>
      <c r="H203" s="12" t="s">
        <v>810</v>
      </c>
      <c r="I203" s="105"/>
      <c r="J203" s="21">
        <v>0</v>
      </c>
      <c r="K203" s="21">
        <f>J203/E204</f>
        <v>0</v>
      </c>
      <c r="L203" s="21">
        <f t="shared" ref="L203:L211" si="43">I203+K203</f>
        <v>0</v>
      </c>
      <c r="M203" s="170">
        <f>_xlfn.STDEV.S(L203:L205)</f>
        <v>267.66522244535241</v>
      </c>
      <c r="N203" s="170">
        <f>(SUM(L203:L205))/((IF(L203=0,0,1))+(IF(L204=0,0,1))+(IF(L205=0,0,1)))</f>
        <v>462.57479999999998</v>
      </c>
      <c r="O203" s="173">
        <f>M203/N203</f>
        <v>0.57864203247853629</v>
      </c>
      <c r="P203" s="37"/>
      <c r="Q203" s="37"/>
      <c r="R203" s="38" t="str">
        <f>IF(O203&lt;0.25,"PROPOSTA VÁLIDA",((IF(L203&gt;P204,"PROPOSTA FORA DOS LIMITES",IF(L203&lt;Q204,"PROPOSTA FORA DOS LIMITES","PROPOSTA VÁLIDA")))))</f>
        <v>PROPOSTA FORA DOS LIMITES</v>
      </c>
      <c r="S203" s="38">
        <f t="shared" ref="S203:S211" si="44">(IF(R203="PROPOSTA VÁLIDA",L203,0))</f>
        <v>0</v>
      </c>
      <c r="T203" s="164">
        <f>IF(O203&lt;0.25,AVERAGE(S203:S205),((IF(L203&gt;P204,0,IF(L203&lt;Q204,0,L203)))+(IF(L204&gt;P204,0,IF(L204&lt;Q204,0,L204)))+(IF(L205&gt;P204,0,IF(L205&lt;Q204,0,L205))))/(((IF(L203&gt;P204,0,IF(L203&lt;Q204,0,1))))+((IF(L204&gt;P204,0,IF(L204&lt;Q204,0,1))))+((IF(L205&gt;P204,0,IF(L205&lt;Q204,0,1))))))</f>
        <v>462.57479999999998</v>
      </c>
      <c r="U203" s="167">
        <f>IFERROR(T203*E204,"")</f>
        <v>1850.2991999999999</v>
      </c>
    </row>
    <row r="204" spans="1:22" ht="19.899999999999999" customHeight="1" x14ac:dyDescent="0.2">
      <c r="A204" s="177"/>
      <c r="B204" s="183"/>
      <c r="C204" s="199"/>
      <c r="D204" s="104"/>
      <c r="E204" s="59">
        <v>4</v>
      </c>
      <c r="F204" s="10" t="s">
        <v>645</v>
      </c>
      <c r="G204" s="11" t="s">
        <v>648</v>
      </c>
      <c r="H204" s="12" t="s">
        <v>852</v>
      </c>
      <c r="I204" s="92">
        <v>435.98</v>
      </c>
      <c r="J204" s="20">
        <f>I204*0.08</f>
        <v>34.878399999999999</v>
      </c>
      <c r="K204" s="20">
        <f>J204/E204</f>
        <v>8.7195999999999998</v>
      </c>
      <c r="L204" s="20">
        <f t="shared" si="43"/>
        <v>444.69960000000003</v>
      </c>
      <c r="M204" s="171"/>
      <c r="N204" s="171"/>
      <c r="O204" s="174"/>
      <c r="P204" s="40">
        <f>IF(O203&gt;=0.25,N203+M203,"CV&lt;25%")</f>
        <v>730.24002244535245</v>
      </c>
      <c r="Q204" s="40">
        <f>IF(O203&gt;=0.25,N203-M203,"CV&lt;25%")</f>
        <v>194.90957755464757</v>
      </c>
      <c r="R204" s="41" t="str">
        <f>IF(O203&lt;0.25,"PROPOSTA VÁLIDA",((IF(L204&gt;P204,"PROPOSTA FORA DOS LIMITES",IF(L204&lt;Q204,"PROPOSTA FORA DOS LIMITES","PROPOSTA VÁLIDA")))))</f>
        <v>PROPOSTA VÁLIDA</v>
      </c>
      <c r="S204" s="41">
        <f t="shared" si="44"/>
        <v>444.69960000000003</v>
      </c>
      <c r="T204" s="165"/>
      <c r="U204" s="168"/>
      <c r="V204" s="13"/>
    </row>
    <row r="205" spans="1:22" ht="19.899999999999999" customHeight="1" thickBot="1" x14ac:dyDescent="0.25">
      <c r="A205" s="178"/>
      <c r="B205" s="184"/>
      <c r="C205" s="200"/>
      <c r="D205" s="111"/>
      <c r="E205" s="60"/>
      <c r="F205" s="14" t="s">
        <v>646</v>
      </c>
      <c r="G205" s="15" t="s">
        <v>647</v>
      </c>
      <c r="H205" s="16" t="s">
        <v>809</v>
      </c>
      <c r="I205" s="93">
        <f>465.4+13.71+1.34</f>
        <v>480.44999999999993</v>
      </c>
      <c r="J205" s="43">
        <v>0</v>
      </c>
      <c r="K205" s="43">
        <f>J205/E204</f>
        <v>0</v>
      </c>
      <c r="L205" s="43">
        <f t="shared" si="43"/>
        <v>480.44999999999993</v>
      </c>
      <c r="M205" s="172"/>
      <c r="N205" s="172"/>
      <c r="O205" s="175"/>
      <c r="P205" s="44"/>
      <c r="Q205" s="44"/>
      <c r="R205" s="45" t="str">
        <f>IF(O203&lt;0.25,"PROPOSTA VÁLIDA",((IF(L205&gt;P204,"PROPOSTA FORA DOS LIMITES",IF(L205&lt;Q204,"PROPOSTA FORA DOS LIMITES","PROPOSTA VÁLIDA")))))</f>
        <v>PROPOSTA VÁLIDA</v>
      </c>
      <c r="S205" s="45">
        <f t="shared" si="44"/>
        <v>480.44999999999993</v>
      </c>
      <c r="T205" s="166"/>
      <c r="U205" s="169"/>
    </row>
    <row r="206" spans="1:22" ht="20.100000000000001" customHeight="1" thickTop="1" x14ac:dyDescent="0.2">
      <c r="A206" s="176" t="s">
        <v>580</v>
      </c>
      <c r="B206" s="182" t="s">
        <v>638</v>
      </c>
      <c r="C206" s="198" t="s">
        <v>559</v>
      </c>
      <c r="D206" s="103"/>
      <c r="E206" s="58"/>
      <c r="F206" s="8" t="s">
        <v>643</v>
      </c>
      <c r="G206" s="19" t="s">
        <v>644</v>
      </c>
      <c r="H206" s="12" t="s">
        <v>810</v>
      </c>
      <c r="I206" s="91">
        <v>387.04</v>
      </c>
      <c r="J206" s="21">
        <v>0</v>
      </c>
      <c r="K206" s="21">
        <f>J206/E207</f>
        <v>0</v>
      </c>
      <c r="L206" s="21">
        <f t="shared" si="43"/>
        <v>387.04</v>
      </c>
      <c r="M206" s="170">
        <f>_xlfn.STDEV.S(L206:L208)</f>
        <v>157.7794095433274</v>
      </c>
      <c r="N206" s="170">
        <f>(SUM(L206:L208))/((IF(L206=0,0,1))+(IF(L207=0,0,1))+(IF(L208=0,0,1)))</f>
        <v>459.49424761904766</v>
      </c>
      <c r="O206" s="173">
        <f>M206/N206</f>
        <v>0.34337624542829398</v>
      </c>
      <c r="P206" s="37"/>
      <c r="Q206" s="37"/>
      <c r="R206" s="38" t="str">
        <f>IF(O206&lt;0.25,"PROPOSTA VÁLIDA",((IF(L206&gt;P207,"PROPOSTA FORA DOS LIMITES",IF(L206&lt;Q207,"PROPOSTA FORA DOS LIMITES","PROPOSTA VÁLIDA")))))</f>
        <v>PROPOSTA VÁLIDA</v>
      </c>
      <c r="S206" s="38">
        <f t="shared" si="44"/>
        <v>387.04</v>
      </c>
      <c r="T206" s="164">
        <f>IF(O206&lt;0.25,AVERAGE(S206:S208),((IF(L206&gt;P207,0,IF(L206&lt;Q207,0,L206)))+(IF(L207&gt;P207,0,IF(L207&lt;Q207,0,L207)))+(IF(L208&gt;P207,0,IF(L208&lt;Q207,0,L208))))/(((IF(L206&gt;P207,0,IF(L206&lt;Q207,0,1))))+((IF(L207&gt;P207,0,IF(L207&lt;Q207,0,1))))+((IF(L208&gt;P207,0,IF(L208&lt;Q207,0,1))))))</f>
        <v>368.99779999999998</v>
      </c>
      <c r="U206" s="167">
        <f>IFERROR(T206*E207,"")</f>
        <v>2582.9845999999998</v>
      </c>
    </row>
    <row r="207" spans="1:22" ht="20.100000000000001" customHeight="1" x14ac:dyDescent="0.2">
      <c r="A207" s="177"/>
      <c r="B207" s="183"/>
      <c r="C207" s="199"/>
      <c r="D207" s="104"/>
      <c r="E207" s="59">
        <v>7</v>
      </c>
      <c r="F207" s="10" t="s">
        <v>645</v>
      </c>
      <c r="G207" s="11" t="s">
        <v>648</v>
      </c>
      <c r="H207" s="12" t="s">
        <v>852</v>
      </c>
      <c r="I207" s="92">
        <v>346.99</v>
      </c>
      <c r="J207" s="20">
        <f>I207*0.08</f>
        <v>27.7592</v>
      </c>
      <c r="K207" s="20">
        <f>J207/E207</f>
        <v>3.9655999999999998</v>
      </c>
      <c r="L207" s="20">
        <f t="shared" si="43"/>
        <v>350.9556</v>
      </c>
      <c r="M207" s="171"/>
      <c r="N207" s="171"/>
      <c r="O207" s="174"/>
      <c r="P207" s="40">
        <f>IF(O206&gt;=0.25,N206+M206,"CV&lt;25%")</f>
        <v>617.273657162375</v>
      </c>
      <c r="Q207" s="40">
        <f>IF(O206&gt;=0.25,N206-M206,"CV&lt;25%")</f>
        <v>301.71483807572025</v>
      </c>
      <c r="R207" s="41" t="str">
        <f>IF(O206&lt;0.25,"PROPOSTA VÁLIDA",((IF(L207&gt;P207,"PROPOSTA FORA DOS LIMITES",IF(L207&lt;Q207,"PROPOSTA FORA DOS LIMITES","PROPOSTA VÁLIDA")))))</f>
        <v>PROPOSTA VÁLIDA</v>
      </c>
      <c r="S207" s="41">
        <f t="shared" si="44"/>
        <v>350.9556</v>
      </c>
      <c r="T207" s="165"/>
      <c r="U207" s="168"/>
      <c r="V207" s="13"/>
    </row>
    <row r="208" spans="1:22" ht="20.100000000000001" customHeight="1" thickBot="1" x14ac:dyDescent="0.25">
      <c r="A208" s="178"/>
      <c r="B208" s="184"/>
      <c r="C208" s="200"/>
      <c r="D208" s="111"/>
      <c r="E208" s="60"/>
      <c r="F208" s="14" t="s">
        <v>646</v>
      </c>
      <c r="G208" s="15" t="s">
        <v>647</v>
      </c>
      <c r="H208" s="16" t="s">
        <v>809</v>
      </c>
      <c r="I208" s="93">
        <f>4483.41/7</f>
        <v>640.48714285714289</v>
      </c>
      <c r="J208" s="43">
        <v>0</v>
      </c>
      <c r="K208" s="43">
        <f>J208/E207</f>
        <v>0</v>
      </c>
      <c r="L208" s="43">
        <f t="shared" si="43"/>
        <v>640.48714285714289</v>
      </c>
      <c r="M208" s="172"/>
      <c r="N208" s="172"/>
      <c r="O208" s="175"/>
      <c r="P208" s="44"/>
      <c r="Q208" s="44"/>
      <c r="R208" s="45" t="str">
        <f>IF(O206&lt;0.25,"PROPOSTA VÁLIDA",((IF(L208&gt;P207,"PROPOSTA FORA DOS LIMITES",IF(L208&lt;Q207,"PROPOSTA FORA DOS LIMITES","PROPOSTA VÁLIDA")))))</f>
        <v>PROPOSTA FORA DOS LIMITES</v>
      </c>
      <c r="S208" s="45">
        <f t="shared" si="44"/>
        <v>0</v>
      </c>
      <c r="T208" s="166"/>
      <c r="U208" s="169"/>
    </row>
    <row r="209" spans="1:22" ht="19.899999999999999" customHeight="1" thickTop="1" x14ac:dyDescent="0.2">
      <c r="A209" s="176" t="s">
        <v>541</v>
      </c>
      <c r="B209" s="182" t="s">
        <v>639</v>
      </c>
      <c r="C209" s="198" t="s">
        <v>560</v>
      </c>
      <c r="D209" s="103"/>
      <c r="E209" s="58"/>
      <c r="F209" s="8" t="s">
        <v>643</v>
      </c>
      <c r="G209" s="19" t="s">
        <v>644</v>
      </c>
      <c r="H209" s="12" t="s">
        <v>810</v>
      </c>
      <c r="I209" s="105"/>
      <c r="J209" s="21">
        <v>0</v>
      </c>
      <c r="K209" s="21">
        <f>J209/E210</f>
        <v>0</v>
      </c>
      <c r="L209" s="21">
        <f t="shared" si="43"/>
        <v>0</v>
      </c>
      <c r="M209" s="170">
        <f>_xlfn.STDEV.S(L209:L211)</f>
        <v>315.42918955125793</v>
      </c>
      <c r="N209" s="170">
        <f>(SUM(L209:L211))/((IF(L209=0,0,1))+(IF(L210=0,0,1))+(IF(L211=0,0,1)))</f>
        <v>537.10584999999992</v>
      </c>
      <c r="O209" s="173">
        <f>M209/N209</f>
        <v>0.58727565441943708</v>
      </c>
      <c r="P209" s="37"/>
      <c r="Q209" s="37"/>
      <c r="R209" s="38" t="str">
        <f>IF(O209&lt;0.25,"PROPOSTA VÁLIDA",((IF(L209&gt;P210,"PROPOSTA FORA DOS LIMITES",IF(L209&lt;Q210,"PROPOSTA FORA DOS LIMITES","PROPOSTA VÁLIDA")))))</f>
        <v>PROPOSTA FORA DOS LIMITES</v>
      </c>
      <c r="S209" s="38">
        <f t="shared" si="44"/>
        <v>0</v>
      </c>
      <c r="T209" s="164">
        <f>IF(O209&lt;0.25,AVERAGE(S209:S211),((IF(L209&gt;P210,0,IF(L209&lt;Q210,0,L209)))+(IF(L210&gt;P210,0,IF(L210&lt;Q210,0,L210)))+(IF(L211&gt;P210,0,IF(L211&lt;Q210,0,L211))))/(((IF(L209&gt;P210,0,IF(L209&lt;Q210,0,1))))+((IF(L210&gt;P210,0,IF(L210&lt;Q210,0,1))))+((IF(L211&gt;P210,0,IF(L211&lt;Q210,0,1))))))</f>
        <v>537.10584999999992</v>
      </c>
      <c r="U209" s="167">
        <f>IFERROR(T209*E210,"")</f>
        <v>2148.4233999999997</v>
      </c>
    </row>
    <row r="210" spans="1:22" ht="19.899999999999999" customHeight="1" x14ac:dyDescent="0.2">
      <c r="A210" s="177"/>
      <c r="B210" s="183"/>
      <c r="C210" s="199"/>
      <c r="D210" s="104"/>
      <c r="E210" s="59">
        <v>4</v>
      </c>
      <c r="F210" s="10" t="s">
        <v>645</v>
      </c>
      <c r="G210" s="11" t="s">
        <v>648</v>
      </c>
      <c r="H210" s="12" t="s">
        <v>852</v>
      </c>
      <c r="I210" s="92">
        <v>469.96</v>
      </c>
      <c r="J210" s="20">
        <f>I210*0.08</f>
        <v>37.596800000000002</v>
      </c>
      <c r="K210" s="20">
        <f>J210/E210</f>
        <v>9.3992000000000004</v>
      </c>
      <c r="L210" s="20">
        <f t="shared" si="43"/>
        <v>479.35919999999999</v>
      </c>
      <c r="M210" s="171"/>
      <c r="N210" s="171"/>
      <c r="O210" s="174"/>
      <c r="P210" s="40">
        <f>IF(O209&gt;=0.25,N209+M209,"CV&lt;25%")</f>
        <v>852.5350395512578</v>
      </c>
      <c r="Q210" s="40">
        <f>IF(O209&gt;=0.25,N209-M209,"CV&lt;25%")</f>
        <v>221.67666044874198</v>
      </c>
      <c r="R210" s="41" t="str">
        <f>IF(O209&lt;0.25,"PROPOSTA VÁLIDA",((IF(L210&gt;P210,"PROPOSTA FORA DOS LIMITES",IF(L210&lt;Q210,"PROPOSTA FORA DOS LIMITES","PROPOSTA VÁLIDA")))))</f>
        <v>PROPOSTA VÁLIDA</v>
      </c>
      <c r="S210" s="41">
        <f t="shared" si="44"/>
        <v>479.35919999999999</v>
      </c>
      <c r="T210" s="165"/>
      <c r="U210" s="168"/>
      <c r="V210" s="13"/>
    </row>
    <row r="211" spans="1:22" ht="19.899999999999999" customHeight="1" thickBot="1" x14ac:dyDescent="0.25">
      <c r="A211" s="178"/>
      <c r="B211" s="184"/>
      <c r="C211" s="200"/>
      <c r="D211" s="111"/>
      <c r="E211" s="60"/>
      <c r="F211" s="14" t="s">
        <v>646</v>
      </c>
      <c r="G211" s="15" t="s">
        <v>647</v>
      </c>
      <c r="H211" s="16" t="s">
        <v>809</v>
      </c>
      <c r="I211" s="93">
        <f>2379.41/4</f>
        <v>594.85249999999996</v>
      </c>
      <c r="J211" s="43">
        <v>0</v>
      </c>
      <c r="K211" s="43">
        <f>J211/E210</f>
        <v>0</v>
      </c>
      <c r="L211" s="43">
        <f t="shared" si="43"/>
        <v>594.85249999999996</v>
      </c>
      <c r="M211" s="172"/>
      <c r="N211" s="172"/>
      <c r="O211" s="175"/>
      <c r="P211" s="44"/>
      <c r="Q211" s="44"/>
      <c r="R211" s="45" t="str">
        <f>IF(O209&lt;0.25,"PROPOSTA VÁLIDA",((IF(L211&gt;P210,"PROPOSTA FORA DOS LIMITES",IF(L211&lt;Q210,"PROPOSTA FORA DOS LIMITES","PROPOSTA VÁLIDA")))))</f>
        <v>PROPOSTA VÁLIDA</v>
      </c>
      <c r="S211" s="45">
        <f t="shared" si="44"/>
        <v>594.85249999999996</v>
      </c>
      <c r="T211" s="166"/>
      <c r="U211" s="169"/>
    </row>
    <row r="212" spans="1:22" ht="19.899999999999999" customHeight="1" thickTop="1" x14ac:dyDescent="0.2">
      <c r="A212" s="176" t="s">
        <v>637</v>
      </c>
      <c r="B212" s="182" t="s">
        <v>632</v>
      </c>
      <c r="C212" s="198" t="s">
        <v>567</v>
      </c>
      <c r="D212" s="103"/>
      <c r="E212" s="58"/>
      <c r="F212" s="8" t="s">
        <v>643</v>
      </c>
      <c r="G212" s="19" t="s">
        <v>644</v>
      </c>
      <c r="H212" s="12" t="s">
        <v>810</v>
      </c>
      <c r="I212" s="91">
        <v>484.85</v>
      </c>
      <c r="J212" s="21"/>
      <c r="K212" s="21">
        <f>J212/E213</f>
        <v>0</v>
      </c>
      <c r="L212" s="21">
        <f t="shared" ref="L212:L214" si="45">I212+K212</f>
        <v>484.85</v>
      </c>
      <c r="M212" s="170">
        <f>_xlfn.STDEV.S(L212:L214)</f>
        <v>159.3923328546681</v>
      </c>
      <c r="N212" s="170">
        <f>(SUM(L212:L214))/((IF(L212=0,0,1))+(IF(L213=0,0,1))+(IF(L214=0,0,1)))</f>
        <v>328.57613333333336</v>
      </c>
      <c r="O212" s="173">
        <f>M212/N212</f>
        <v>0.48510015392069888</v>
      </c>
      <c r="P212" s="37"/>
      <c r="Q212" s="37"/>
      <c r="R212" s="38" t="str">
        <f>IF(O212&lt;0.25,"PROPOSTA VÁLIDA",((IF(L212&gt;P213,"PROPOSTA FORA DOS LIMITES",IF(L212&lt;Q213,"PROPOSTA FORA DOS LIMITES","PROPOSTA VÁLIDA")))))</f>
        <v>PROPOSTA VÁLIDA</v>
      </c>
      <c r="S212" s="38">
        <f t="shared" ref="S212:S214" si="46">(IF(R212="PROPOSTA VÁLIDA",L212,0))</f>
        <v>484.85</v>
      </c>
      <c r="T212" s="164">
        <f>IF(O212&lt;0.25,AVERAGE(S212:S214),((IF(L212&gt;P213,0,IF(L212&lt;Q213,0,L212)))+(IF(L213&gt;P213,0,IF(L213&lt;Q213,0,L213)))+(IF(L214&gt;P213,0,IF(L214&lt;Q213,0,L214))))/(((IF(L212&gt;P213,0,IF(L212&lt;Q213,0,1))))+((IF(L213&gt;P213,0,IF(L213&lt;Q213,0,1))))+((IF(L214&gt;P213,0,IF(L214&lt;Q213,0,1))))))</f>
        <v>409.745</v>
      </c>
      <c r="U212" s="167">
        <f>IFERROR(T212*E213,"")</f>
        <v>2868.2150000000001</v>
      </c>
    </row>
    <row r="213" spans="1:22" ht="19.899999999999999" customHeight="1" x14ac:dyDescent="0.2">
      <c r="A213" s="177"/>
      <c r="B213" s="183"/>
      <c r="C213" s="199"/>
      <c r="D213" s="104"/>
      <c r="E213" s="59">
        <v>7</v>
      </c>
      <c r="F213" s="10" t="s">
        <v>645</v>
      </c>
      <c r="G213" s="11" t="s">
        <v>648</v>
      </c>
      <c r="H213" s="12" t="s">
        <v>852</v>
      </c>
      <c r="I213" s="92">
        <v>164.36</v>
      </c>
      <c r="J213" s="20">
        <f>I213*0.08</f>
        <v>13.148800000000001</v>
      </c>
      <c r="K213" s="20">
        <f>J213/E213</f>
        <v>1.8784000000000003</v>
      </c>
      <c r="L213" s="20">
        <f t="shared" si="45"/>
        <v>166.23840000000001</v>
      </c>
      <c r="M213" s="171"/>
      <c r="N213" s="171"/>
      <c r="O213" s="174"/>
      <c r="P213" s="40">
        <f>IF(O212&gt;=0.25,N212+M212,"CV&lt;25%")</f>
        <v>487.96846618800146</v>
      </c>
      <c r="Q213" s="40">
        <f>IF(O212&gt;=0.25,N212-M212,"CV&lt;25%")</f>
        <v>169.18380047866526</v>
      </c>
      <c r="R213" s="41" t="str">
        <f>IF(O212&lt;0.25,"PROPOSTA VÁLIDA",((IF(L213&gt;P213,"PROPOSTA FORA DOS LIMITES",IF(L213&lt;Q213,"PROPOSTA FORA DOS LIMITES","PROPOSTA VÁLIDA")))))</f>
        <v>PROPOSTA FORA DOS LIMITES</v>
      </c>
      <c r="S213" s="41">
        <f t="shared" si="46"/>
        <v>0</v>
      </c>
      <c r="T213" s="165"/>
      <c r="U213" s="168"/>
      <c r="V213" s="13"/>
    </row>
    <row r="214" spans="1:22" ht="19.899999999999999" customHeight="1" thickBot="1" x14ac:dyDescent="0.25">
      <c r="A214" s="178"/>
      <c r="B214" s="184"/>
      <c r="C214" s="200"/>
      <c r="D214" s="111"/>
      <c r="E214" s="60"/>
      <c r="F214" s="14" t="s">
        <v>646</v>
      </c>
      <c r="G214" s="15" t="s">
        <v>647</v>
      </c>
      <c r="H214" s="16" t="s">
        <v>809</v>
      </c>
      <c r="I214" s="93">
        <f>2342.48/7</f>
        <v>334.64</v>
      </c>
      <c r="J214" s="43"/>
      <c r="K214" s="43">
        <f>J214/E213</f>
        <v>0</v>
      </c>
      <c r="L214" s="43">
        <f t="shared" si="45"/>
        <v>334.64</v>
      </c>
      <c r="M214" s="172"/>
      <c r="N214" s="172"/>
      <c r="O214" s="175"/>
      <c r="P214" s="44"/>
      <c r="Q214" s="44"/>
      <c r="R214" s="45" t="str">
        <f>IF(O212&lt;0.25,"PROPOSTA VÁLIDA",((IF(L214&gt;P213,"PROPOSTA FORA DOS LIMITES",IF(L214&lt;Q213,"PROPOSTA FORA DOS LIMITES","PROPOSTA VÁLIDA")))))</f>
        <v>PROPOSTA VÁLIDA</v>
      </c>
      <c r="S214" s="45">
        <f t="shared" si="46"/>
        <v>334.64</v>
      </c>
      <c r="T214" s="166"/>
      <c r="U214" s="169"/>
    </row>
    <row r="215" spans="1:22" ht="19.899999999999999" customHeight="1" thickTop="1" x14ac:dyDescent="0.2">
      <c r="A215" s="176" t="s">
        <v>640</v>
      </c>
      <c r="B215" s="182" t="s">
        <v>641</v>
      </c>
      <c r="C215" s="198" t="s">
        <v>568</v>
      </c>
      <c r="D215" s="103"/>
      <c r="E215" s="58"/>
      <c r="F215" s="8" t="s">
        <v>788</v>
      </c>
      <c r="G215" s="19" t="s">
        <v>672</v>
      </c>
      <c r="H215" s="68" t="s">
        <v>835</v>
      </c>
      <c r="I215" s="91">
        <v>500</v>
      </c>
      <c r="J215" s="21">
        <v>52.1</v>
      </c>
      <c r="K215" s="21">
        <f>J215/E216</f>
        <v>8.6833333333333336</v>
      </c>
      <c r="L215" s="21">
        <f t="shared" ref="L215:L217" si="47">I215+K215</f>
        <v>508.68333333333334</v>
      </c>
      <c r="M215" s="170">
        <f>_xlfn.STDEV.S(L215:L217)</f>
        <v>1693.8300521544302</v>
      </c>
      <c r="N215" s="170">
        <f>(SUM(L215:L217))/((IF(L215=0,0,1))+(IF(L216=0,0,1))+(IF(L217=0,0,1)))</f>
        <v>2446.6511111111113</v>
      </c>
      <c r="O215" s="173">
        <f>M215/N215</f>
        <v>0.6923055128138812</v>
      </c>
      <c r="P215" s="37"/>
      <c r="Q215" s="37"/>
      <c r="R215" s="38" t="str">
        <f>IF(O215&lt;0.25,"PROPOSTA VÁLIDA",((IF(L215&gt;P216,"PROPOSTA FORA DOS LIMITES",IF(L215&lt;Q216,"PROPOSTA FORA DOS LIMITES","PROPOSTA VÁLIDA")))))</f>
        <v>PROPOSTA FORA DOS LIMITES</v>
      </c>
      <c r="S215" s="38">
        <f t="shared" ref="S215:S217" si="48">(IF(R215="PROPOSTA VÁLIDA",L215,0))</f>
        <v>0</v>
      </c>
      <c r="T215" s="164">
        <f>IF(O215&lt;0.25,AVERAGE(S215:S217),((IF(L215&gt;P216,0,IF(L215&lt;Q216,0,L215)))+(IF(L216&gt;P216,0,IF(L216&lt;Q216,0,L216)))+(IF(L217&gt;P216,0,IF(L217&lt;Q216,0,L217))))/(((IF(L215&gt;P216,0,IF(L215&lt;Q216,0,1))))+((IF(L216&gt;P216,0,IF(L216&lt;Q216,0,1))))+((IF(L217&gt;P216,0,IF(L217&lt;Q216,0,1))))))</f>
        <v>3415.6350000000002</v>
      </c>
      <c r="U215" s="167">
        <f>IFERROR(T215*E216,"")</f>
        <v>20493.810000000001</v>
      </c>
    </row>
    <row r="216" spans="1:22" ht="19.899999999999999" customHeight="1" x14ac:dyDescent="0.2">
      <c r="A216" s="177"/>
      <c r="B216" s="183"/>
      <c r="C216" s="199"/>
      <c r="D216" s="104"/>
      <c r="E216" s="59">
        <v>6</v>
      </c>
      <c r="F216" s="141" t="s">
        <v>836</v>
      </c>
      <c r="G216" s="11" t="s">
        <v>837</v>
      </c>
      <c r="H216" s="69" t="s">
        <v>838</v>
      </c>
      <c r="I216" s="92">
        <v>3638.54</v>
      </c>
      <c r="J216" s="20">
        <v>34.340000000000003</v>
      </c>
      <c r="K216" s="20">
        <f>J216/E216</f>
        <v>5.7233333333333336</v>
      </c>
      <c r="L216" s="20">
        <f t="shared" si="47"/>
        <v>3644.2633333333333</v>
      </c>
      <c r="M216" s="171"/>
      <c r="N216" s="171"/>
      <c r="O216" s="174"/>
      <c r="P216" s="40">
        <f>IF(O215&gt;=0.25,N215+M215,"CV&lt;25%")</f>
        <v>4140.4811632655419</v>
      </c>
      <c r="Q216" s="40">
        <f>IF(O215&gt;=0.25,N215-M215,"CV&lt;25%")</f>
        <v>752.8210589566811</v>
      </c>
      <c r="R216" s="41" t="str">
        <f>IF(O215&lt;0.25,"PROPOSTA VÁLIDA",((IF(L216&gt;P216,"PROPOSTA FORA DOS LIMITES",IF(L216&lt;Q216,"PROPOSTA FORA DOS LIMITES","PROPOSTA VÁLIDA")))))</f>
        <v>PROPOSTA VÁLIDA</v>
      </c>
      <c r="S216" s="41">
        <f t="shared" si="48"/>
        <v>3644.2633333333333</v>
      </c>
      <c r="T216" s="165"/>
      <c r="U216" s="168"/>
      <c r="V216" s="13"/>
    </row>
    <row r="217" spans="1:22" ht="19.899999999999999" customHeight="1" thickBot="1" x14ac:dyDescent="0.25">
      <c r="A217" s="178"/>
      <c r="B217" s="184"/>
      <c r="C217" s="200"/>
      <c r="D217" s="111"/>
      <c r="E217" s="60"/>
      <c r="F217" s="128" t="s">
        <v>842</v>
      </c>
      <c r="G217" s="15" t="s">
        <v>850</v>
      </c>
      <c r="H217" s="16" t="s">
        <v>851</v>
      </c>
      <c r="I217" s="93">
        <v>3125.01</v>
      </c>
      <c r="J217" s="43">
        <v>371.98</v>
      </c>
      <c r="K217" s="43">
        <f>J217/E216</f>
        <v>61.99666666666667</v>
      </c>
      <c r="L217" s="43">
        <f t="shared" si="47"/>
        <v>3187.0066666666671</v>
      </c>
      <c r="M217" s="172"/>
      <c r="N217" s="172"/>
      <c r="O217" s="175"/>
      <c r="P217" s="44"/>
      <c r="Q217" s="44"/>
      <c r="R217" s="45" t="str">
        <f>IF(O215&lt;0.25,"PROPOSTA VÁLIDA",((IF(L217&gt;P216,"PROPOSTA FORA DOS LIMITES",IF(L217&lt;Q216,"PROPOSTA FORA DOS LIMITES","PROPOSTA VÁLIDA")))))</f>
        <v>PROPOSTA VÁLIDA</v>
      </c>
      <c r="S217" s="45">
        <f t="shared" si="48"/>
        <v>3187.0066666666671</v>
      </c>
      <c r="T217" s="166"/>
      <c r="U217" s="169"/>
    </row>
    <row r="218" spans="1:22" ht="19.899999999999999" customHeight="1" thickTop="1" x14ac:dyDescent="0.2">
      <c r="A218" s="176" t="s">
        <v>627</v>
      </c>
      <c r="B218" s="195" t="s">
        <v>401</v>
      </c>
      <c r="C218" s="198" t="s">
        <v>531</v>
      </c>
      <c r="D218" s="103"/>
      <c r="E218" s="58"/>
      <c r="F218" s="8" t="s">
        <v>708</v>
      </c>
      <c r="G218" s="19" t="s">
        <v>710</v>
      </c>
      <c r="H218" s="68" t="s">
        <v>709</v>
      </c>
      <c r="I218" s="91">
        <v>2142.8000000000002</v>
      </c>
      <c r="J218" s="21">
        <v>19.899999999999999</v>
      </c>
      <c r="K218" s="21">
        <f>J218/E219</f>
        <v>19.899999999999999</v>
      </c>
      <c r="L218" s="21">
        <f t="shared" ref="L218:L220" si="49">I218+K218</f>
        <v>2162.7000000000003</v>
      </c>
      <c r="M218" s="170">
        <f>_xlfn.STDEV.S(L218:L220)</f>
        <v>187.65034718859442</v>
      </c>
      <c r="N218" s="170">
        <f>(SUM(L218:L220))/((IF(L218=0,0,1))+(IF(L219=0,0,1))+(IF(L220=0,0,1)))</f>
        <v>2125.34</v>
      </c>
      <c r="O218" s="173">
        <f>M218/N218</f>
        <v>8.8291919028764529E-2</v>
      </c>
      <c r="P218" s="37"/>
      <c r="Q218" s="37"/>
      <c r="R218" s="38" t="str">
        <f>IF(O218&lt;0.25,"PROPOSTA VÁLIDA",((IF(L218&gt;P219,"PROPOSTA FORA DOS LIMITES",IF(L218&lt;Q219,"PROPOSTA FORA DOS LIMITES","PROPOSTA VÁLIDA")))))</f>
        <v>PROPOSTA VÁLIDA</v>
      </c>
      <c r="S218" s="38">
        <f t="shared" ref="S218:S220" si="50">(IF(R218="PROPOSTA VÁLIDA",L218,0))</f>
        <v>2162.7000000000003</v>
      </c>
      <c r="T218" s="170">
        <f>IF(O218&lt;0.25,AVERAGE(S218:S220),((IF(L218&gt;P219,0,IF(L218&lt;Q219,0,L218)))+(IF(L219&gt;P219,0,IF(L219&lt;Q219,0,L219)))+(IF(L220&gt;P219,0,IF(L220&lt;Q219,0,L220))))/(((IF(L218&gt;P219,0,IF(L218&lt;Q219,0,1))))+((IF(L219&gt;P219,0,IF(L219&lt;Q219,0,1))))+((IF(L220&gt;P219,0,IF(L220&lt;Q219,0,1))))))</f>
        <v>2125.34</v>
      </c>
      <c r="U218" s="167">
        <f>IFERROR(T218*E219,"")</f>
        <v>2125.34</v>
      </c>
    </row>
    <row r="219" spans="1:22" ht="19.899999999999999" customHeight="1" x14ac:dyDescent="0.2">
      <c r="A219" s="177"/>
      <c r="B219" s="196"/>
      <c r="C219" s="199"/>
      <c r="D219" s="104"/>
      <c r="E219" s="59">
        <v>1</v>
      </c>
      <c r="F219" s="10" t="s">
        <v>711</v>
      </c>
      <c r="G219" s="11" t="s">
        <v>97</v>
      </c>
      <c r="H219" s="69" t="s">
        <v>712</v>
      </c>
      <c r="I219" s="92">
        <v>2291.5</v>
      </c>
      <c r="J219" s="20">
        <v>0</v>
      </c>
      <c r="K219" s="20">
        <f>J219/E219</f>
        <v>0</v>
      </c>
      <c r="L219" s="20">
        <f t="shared" si="49"/>
        <v>2291.5</v>
      </c>
      <c r="M219" s="171"/>
      <c r="N219" s="171"/>
      <c r="O219" s="174"/>
      <c r="P219" s="40" t="str">
        <f>IF(O218&gt;=0.25,N218+M218,"CV&lt;25%")</f>
        <v>CV&lt;25%</v>
      </c>
      <c r="Q219" s="40" t="str">
        <f>IF(O218&gt;=0.25,N218-M218,"CV&lt;25%")</f>
        <v>CV&lt;25%</v>
      </c>
      <c r="R219" s="41" t="str">
        <f>IF(O218&lt;0.25,"PROPOSTA VÁLIDA",((IF(L219&gt;P219,"PROPOSTA FORA DOS LIMITES",IF(L219&lt;Q219,"PROPOSTA FORA DOS LIMITES","PROPOSTA VÁLIDA")))))</f>
        <v>PROPOSTA VÁLIDA</v>
      </c>
      <c r="S219" s="41">
        <f t="shared" si="50"/>
        <v>2291.5</v>
      </c>
      <c r="T219" s="171"/>
      <c r="U219" s="168"/>
      <c r="V219" s="13"/>
    </row>
    <row r="220" spans="1:22" ht="19.899999999999999" customHeight="1" thickBot="1" x14ac:dyDescent="0.25">
      <c r="A220" s="178"/>
      <c r="B220" s="197"/>
      <c r="C220" s="200"/>
      <c r="D220" s="111"/>
      <c r="E220" s="60"/>
      <c r="F220" s="14" t="s">
        <v>714</v>
      </c>
      <c r="G220" s="15" t="s">
        <v>715</v>
      </c>
      <c r="H220" s="16" t="s">
        <v>713</v>
      </c>
      <c r="I220" s="93">
        <v>1921.82</v>
      </c>
      <c r="J220" s="43">
        <v>0</v>
      </c>
      <c r="K220" s="43">
        <f>J220/E219</f>
        <v>0</v>
      </c>
      <c r="L220" s="43">
        <f t="shared" si="49"/>
        <v>1921.82</v>
      </c>
      <c r="M220" s="172"/>
      <c r="N220" s="172"/>
      <c r="O220" s="175"/>
      <c r="P220" s="44"/>
      <c r="Q220" s="44"/>
      <c r="R220" s="45" t="str">
        <f>IF(O218&lt;0.25,"PROPOSTA VÁLIDA",((IF(L220&gt;P219,"PROPOSTA FORA DOS LIMITES",IF(L220&lt;Q219,"PROPOSTA FORA DOS LIMITES","PROPOSTA VÁLIDA")))))</f>
        <v>PROPOSTA VÁLIDA</v>
      </c>
      <c r="S220" s="45">
        <f t="shared" si="50"/>
        <v>1921.82</v>
      </c>
      <c r="T220" s="172"/>
      <c r="U220" s="169"/>
    </row>
    <row r="221" spans="1:22" ht="19.899999999999999" customHeight="1" thickTop="1" x14ac:dyDescent="0.2">
      <c r="A221" s="176" t="s">
        <v>628</v>
      </c>
      <c r="B221" s="195" t="s">
        <v>90</v>
      </c>
      <c r="C221" s="241" t="s">
        <v>628</v>
      </c>
      <c r="D221" s="232" t="s">
        <v>737</v>
      </c>
      <c r="E221" s="58"/>
      <c r="F221" s="8" t="s">
        <v>40</v>
      </c>
      <c r="G221" s="19" t="s">
        <v>251</v>
      </c>
      <c r="H221" s="22" t="s">
        <v>250</v>
      </c>
      <c r="I221" s="21">
        <v>230.99</v>
      </c>
      <c r="J221" s="21">
        <v>29.97</v>
      </c>
      <c r="K221" s="21">
        <f>J221/E222</f>
        <v>1.427142857142857</v>
      </c>
      <c r="L221" s="21">
        <f t="shared" ref="L221:L226" si="51">I221+K221</f>
        <v>232.41714285714286</v>
      </c>
      <c r="M221" s="170">
        <f>_xlfn.STDEV.S(L221:L223)</f>
        <v>25.204565917387175</v>
      </c>
      <c r="N221" s="170">
        <f>(SUM(L221:L223))/((IF(L221=0,0,1))+(IF(L222=0,0,1))+(IF(L223=0,0,1)))</f>
        <v>204.49095238095239</v>
      </c>
      <c r="O221" s="173">
        <f>M221/N221</f>
        <v>0.12325516422082491</v>
      </c>
      <c r="P221" s="37"/>
      <c r="Q221" s="37"/>
      <c r="R221" s="38" t="str">
        <f>IF(O221&lt;0.25,"PROPOSTA VÁLIDA",((IF(L221&gt;P222,"PROPOSTA FORA DOS LIMITES",IF(L221&lt;Q222,"PROPOSTA FORA DOS LIMITES","PROPOSTA VÁLIDA")))))</f>
        <v>PROPOSTA VÁLIDA</v>
      </c>
      <c r="S221" s="38">
        <f t="shared" ref="S221:S226" si="52">(IF(R221="PROPOSTA VÁLIDA",L221,0))</f>
        <v>232.41714285714286</v>
      </c>
      <c r="T221" s="164">
        <f>IF(O221&lt;0.25,AVERAGE(S221:S223),((IF(L221&gt;P222,0,IF(L221&lt;Q222,0,L221)))+(IF(L222&gt;P222,0,IF(L222&lt;Q222,0,L222)))+(IF(L223&gt;P222,0,IF(L223&lt;Q222,0,L223))))/(((IF(L221&gt;P222,0,IF(L221&lt;Q222,0,1))))+((IF(L222&gt;P222,0,IF(L222&lt;Q222,0,1))))+((IF(L223&gt;P222,0,IF(L223&lt;Q222,0,1))))))</f>
        <v>204.49095238095239</v>
      </c>
      <c r="U221" s="167">
        <f>IFERROR(T221*E222,"")</f>
        <v>4294.3100000000004</v>
      </c>
    </row>
    <row r="222" spans="1:22" ht="19.899999999999999" customHeight="1" x14ac:dyDescent="0.2">
      <c r="A222" s="177"/>
      <c r="B222" s="196"/>
      <c r="C222" s="242"/>
      <c r="D222" s="233"/>
      <c r="E222" s="59">
        <v>21</v>
      </c>
      <c r="F222" s="10" t="s">
        <v>91</v>
      </c>
      <c r="G222" s="11" t="s">
        <v>92</v>
      </c>
      <c r="H222" s="12" t="s">
        <v>93</v>
      </c>
      <c r="I222" s="20">
        <v>196.02</v>
      </c>
      <c r="J222" s="20">
        <v>33.700000000000003</v>
      </c>
      <c r="K222" s="20">
        <f>J222/E222</f>
        <v>1.6047619047619048</v>
      </c>
      <c r="L222" s="20">
        <f t="shared" si="51"/>
        <v>197.62476190476193</v>
      </c>
      <c r="M222" s="171"/>
      <c r="N222" s="171"/>
      <c r="O222" s="174"/>
      <c r="P222" s="40" t="str">
        <f>IF(O221&gt;=0.25,N221+M221,"CV&lt;25%")</f>
        <v>CV&lt;25%</v>
      </c>
      <c r="Q222" s="40" t="str">
        <f>IF(O221&gt;=0.25,N221-M221,"CV&lt;25%")</f>
        <v>CV&lt;25%</v>
      </c>
      <c r="R222" s="41" t="str">
        <f>IF(O221&lt;0.25,"PROPOSTA VÁLIDA",((IF(L222&gt;P222,"PROPOSTA FORA DOS LIMITES",IF(L222&lt;Q222,"PROPOSTA FORA DOS LIMITES","PROPOSTA VÁLIDA")))))</f>
        <v>PROPOSTA VÁLIDA</v>
      </c>
      <c r="S222" s="41">
        <f t="shared" si="52"/>
        <v>197.62476190476193</v>
      </c>
      <c r="T222" s="165"/>
      <c r="U222" s="168"/>
      <c r="V222" s="13"/>
    </row>
    <row r="223" spans="1:22" ht="19.899999999999999" customHeight="1" thickBot="1" x14ac:dyDescent="0.25">
      <c r="A223" s="178"/>
      <c r="B223" s="197"/>
      <c r="C223" s="243"/>
      <c r="D223" s="234"/>
      <c r="E223" s="60"/>
      <c r="F223" s="14" t="s">
        <v>94</v>
      </c>
      <c r="G223" s="15" t="s">
        <v>95</v>
      </c>
      <c r="H223" s="16" t="s">
        <v>96</v>
      </c>
      <c r="I223" s="43">
        <v>181.4</v>
      </c>
      <c r="J223" s="43">
        <v>42.65</v>
      </c>
      <c r="K223" s="43">
        <f>J223/E222</f>
        <v>2.0309523809523808</v>
      </c>
      <c r="L223" s="43">
        <f t="shared" si="51"/>
        <v>183.43095238095239</v>
      </c>
      <c r="M223" s="172"/>
      <c r="N223" s="172"/>
      <c r="O223" s="175"/>
      <c r="P223" s="44"/>
      <c r="Q223" s="44"/>
      <c r="R223" s="45" t="str">
        <f>IF(O221&lt;0.25,"PROPOSTA VÁLIDA",((IF(L223&gt;P222,"PROPOSTA FORA DOS LIMITES",IF(L223&lt;Q222,"PROPOSTA FORA DOS LIMITES","PROPOSTA VÁLIDA")))))</f>
        <v>PROPOSTA VÁLIDA</v>
      </c>
      <c r="S223" s="45">
        <f t="shared" si="52"/>
        <v>183.43095238095239</v>
      </c>
      <c r="T223" s="166"/>
      <c r="U223" s="169"/>
    </row>
    <row r="224" spans="1:22" ht="19.899999999999999" customHeight="1" thickTop="1" x14ac:dyDescent="0.2">
      <c r="A224" s="176" t="s">
        <v>575</v>
      </c>
      <c r="B224" s="195" t="s">
        <v>297</v>
      </c>
      <c r="C224" s="112"/>
      <c r="D224" s="232" t="s">
        <v>737</v>
      </c>
      <c r="E224" s="58"/>
      <c r="F224" s="8" t="s">
        <v>28</v>
      </c>
      <c r="G224" s="19" t="s">
        <v>29</v>
      </c>
      <c r="H224" s="22" t="s">
        <v>296</v>
      </c>
      <c r="I224" s="21">
        <v>839.9</v>
      </c>
      <c r="J224" s="21">
        <v>11.66</v>
      </c>
      <c r="K224" s="21">
        <f>J224/E225</f>
        <v>2.915</v>
      </c>
      <c r="L224" s="21">
        <f t="shared" si="51"/>
        <v>842.81499999999994</v>
      </c>
      <c r="M224" s="170">
        <f>_xlfn.STDEV.S(L224:L226)</f>
        <v>67.653836411913829</v>
      </c>
      <c r="N224" s="170">
        <f>(SUM(L224:L226))/((IF(L224=0,0,1))+(IF(L225=0,0,1))+(IF(L226=0,0,1)))</f>
        <v>773.38250000000005</v>
      </c>
      <c r="O224" s="173">
        <f>M224/N224</f>
        <v>8.7477847522944754E-2</v>
      </c>
      <c r="P224" s="37"/>
      <c r="Q224" s="37"/>
      <c r="R224" s="38" t="str">
        <f>IF(O224&lt;0.25,"PROPOSTA VÁLIDA",((IF(L224&gt;P225,"PROPOSTA FORA DOS LIMITES",IF(L224&lt;Q225,"PROPOSTA FORA DOS LIMITES","PROPOSTA VÁLIDA")))))</f>
        <v>PROPOSTA VÁLIDA</v>
      </c>
      <c r="S224" s="38">
        <f t="shared" si="52"/>
        <v>842.81499999999994</v>
      </c>
      <c r="T224" s="164">
        <f>IF(O224&lt;0.25,AVERAGE(S224:S226),((IF(L224&gt;P225,0,IF(L224&lt;Q225,0,L224)))+(IF(L225&gt;P225,0,IF(L225&lt;Q225,0,L225)))+(IF(L226&gt;P225,0,IF(L226&lt;Q225,0,L226))))/(((IF(L224&gt;P225,0,IF(L224&lt;Q225,0,1))))+((IF(L225&gt;P225,0,IF(L225&lt;Q225,0,1))))+((IF(L226&gt;P225,0,IF(L226&lt;Q225,0,1))))))</f>
        <v>773.38250000000005</v>
      </c>
      <c r="U224" s="167">
        <f>IFERROR(T224*E225,"")</f>
        <v>3093.53</v>
      </c>
    </row>
    <row r="225" spans="1:22" ht="19.899999999999999" customHeight="1" x14ac:dyDescent="0.2">
      <c r="A225" s="177"/>
      <c r="B225" s="196"/>
      <c r="C225" s="109" t="s">
        <v>575</v>
      </c>
      <c r="D225" s="233"/>
      <c r="E225" s="59">
        <v>4</v>
      </c>
      <c r="F225" s="10" t="s">
        <v>857</v>
      </c>
      <c r="G225" s="11" t="s">
        <v>858</v>
      </c>
      <c r="H225" s="12" t="s">
        <v>859</v>
      </c>
      <c r="I225" s="20">
        <v>763.19</v>
      </c>
      <c r="J225" s="20">
        <v>25.93</v>
      </c>
      <c r="K225" s="20">
        <f>J225/E225</f>
        <v>6.4824999999999999</v>
      </c>
      <c r="L225" s="20">
        <f t="shared" si="51"/>
        <v>769.67250000000001</v>
      </c>
      <c r="M225" s="171"/>
      <c r="N225" s="171"/>
      <c r="O225" s="174"/>
      <c r="P225" s="40" t="str">
        <f>IF(O224&gt;=0.25,N224+M224,"CV&lt;25%")</f>
        <v>CV&lt;25%</v>
      </c>
      <c r="Q225" s="40" t="str">
        <f>IF(O224&gt;=0.25,N224-M224,"CV&lt;25%")</f>
        <v>CV&lt;25%</v>
      </c>
      <c r="R225" s="41" t="str">
        <f>IF(O224&lt;0.25,"PROPOSTA VÁLIDA",((IF(L225&gt;P225,"PROPOSTA FORA DOS LIMITES",IF(L225&lt;Q225,"PROPOSTA FORA DOS LIMITES","PROPOSTA VÁLIDA")))))</f>
        <v>PROPOSTA VÁLIDA</v>
      </c>
      <c r="S225" s="41">
        <f t="shared" si="52"/>
        <v>769.67250000000001</v>
      </c>
      <c r="T225" s="165"/>
      <c r="U225" s="168"/>
      <c r="V225" s="13"/>
    </row>
    <row r="226" spans="1:22" ht="19.899999999999999" customHeight="1" thickBot="1" x14ac:dyDescent="0.25">
      <c r="A226" s="178"/>
      <c r="B226" s="197"/>
      <c r="C226" s="100"/>
      <c r="D226" s="234"/>
      <c r="E226" s="60"/>
      <c r="F226" s="14" t="s">
        <v>860</v>
      </c>
      <c r="G226" s="15" t="s">
        <v>861</v>
      </c>
      <c r="H226" s="16" t="s">
        <v>862</v>
      </c>
      <c r="I226" s="43">
        <v>707.66</v>
      </c>
      <c r="J226" s="43">
        <v>0</v>
      </c>
      <c r="K226" s="43">
        <f>J226/E225</f>
        <v>0</v>
      </c>
      <c r="L226" s="43">
        <f t="shared" si="51"/>
        <v>707.66</v>
      </c>
      <c r="M226" s="172"/>
      <c r="N226" s="172"/>
      <c r="O226" s="175"/>
      <c r="P226" s="44"/>
      <c r="Q226" s="44"/>
      <c r="R226" s="45" t="str">
        <f>IF(O224&lt;0.25,"PROPOSTA VÁLIDA",((IF(L226&gt;P225,"PROPOSTA FORA DOS LIMITES",IF(L226&lt;Q225,"PROPOSTA FORA DOS LIMITES","PROPOSTA VÁLIDA")))))</f>
        <v>PROPOSTA VÁLIDA</v>
      </c>
      <c r="S226" s="45">
        <f t="shared" si="52"/>
        <v>707.66</v>
      </c>
      <c r="T226" s="166"/>
      <c r="U226" s="169"/>
    </row>
    <row r="227" spans="1:22" ht="19.899999999999999" customHeight="1" thickTop="1" x14ac:dyDescent="0.2">
      <c r="A227" s="176" t="s">
        <v>581</v>
      </c>
      <c r="B227" s="195" t="s">
        <v>304</v>
      </c>
      <c r="C227" s="198" t="s">
        <v>581</v>
      </c>
      <c r="D227" s="232" t="s">
        <v>737</v>
      </c>
      <c r="E227" s="58"/>
      <c r="F227" s="8" t="s">
        <v>28</v>
      </c>
      <c r="G227" s="19" t="s">
        <v>29</v>
      </c>
      <c r="H227" s="22" t="s">
        <v>303</v>
      </c>
      <c r="I227" s="21">
        <v>9.08</v>
      </c>
      <c r="J227" s="21">
        <v>9.7100000000000009</v>
      </c>
      <c r="K227" s="21">
        <f>J227/E228</f>
        <v>2.8898809523809528E-2</v>
      </c>
      <c r="L227" s="21">
        <f t="shared" ref="L227:L229" si="53">I227+K227</f>
        <v>9.1088988095238097</v>
      </c>
      <c r="M227" s="170">
        <f>_xlfn.STDEV.S(L227:L229)</f>
        <v>2.0009063387872787</v>
      </c>
      <c r="N227" s="170">
        <f>(SUM(L227:L229))/((IF(L227=0,0,1))+(IF(L228=0,0,1))+(IF(L229=0,0,1)))</f>
        <v>6.8076091269841266</v>
      </c>
      <c r="O227" s="173">
        <f>M227/N227</f>
        <v>0.29392203657170168</v>
      </c>
      <c r="P227" s="37"/>
      <c r="Q227" s="37"/>
      <c r="R227" s="38" t="str">
        <f>IF(O227&lt;0.25,"PROPOSTA VÁLIDA",((IF(L227&gt;P228,"PROPOSTA FORA DOS LIMITES",IF(L227&lt;Q228,"PROPOSTA FORA DOS LIMITES","PROPOSTA VÁLIDA")))))</f>
        <v>PROPOSTA FORA DOS LIMITES</v>
      </c>
      <c r="S227" s="38">
        <f t="shared" ref="S227:S229" si="54">(IF(R227="PROPOSTA VÁLIDA",L227,0))</f>
        <v>0</v>
      </c>
      <c r="T227" s="164">
        <f>IF(O227&lt;0.25,AVERAGE(S227:S229),((IF(L227&gt;P228,0,IF(L227&lt;Q228,0,L227)))+(IF(L228&gt;P228,0,IF(L228&lt;Q228,0,L228)))+(IF(L229&gt;P228,0,IF(L229&lt;Q228,0,L229))))/(((IF(L227&gt;P228,0,IF(L227&lt;Q228,0,1))))+((IF(L228&gt;P228,0,IF(L228&lt;Q228,0,1))))+((IF(L229&gt;P228,0,IF(L229&lt;Q228,0,1))))))</f>
        <v>5.6569642857142854</v>
      </c>
      <c r="U227" s="167">
        <f>IFERROR(T227*E228,"")</f>
        <v>1900.74</v>
      </c>
    </row>
    <row r="228" spans="1:22" ht="19.899999999999999" customHeight="1" x14ac:dyDescent="0.2">
      <c r="A228" s="177"/>
      <c r="B228" s="196"/>
      <c r="C228" s="199" t="s">
        <v>582</v>
      </c>
      <c r="D228" s="233"/>
      <c r="E228" s="59">
        <v>336</v>
      </c>
      <c r="F228" s="10" t="s">
        <v>306</v>
      </c>
      <c r="G228" s="11" t="s">
        <v>495</v>
      </c>
      <c r="H228" s="12" t="s">
        <v>305</v>
      </c>
      <c r="I228" s="20">
        <v>5.8</v>
      </c>
      <c r="J228" s="20">
        <v>11.74</v>
      </c>
      <c r="K228" s="20">
        <f>J228/E228</f>
        <v>3.4940476190476188E-2</v>
      </c>
      <c r="L228" s="20">
        <f t="shared" si="53"/>
        <v>5.834940476190476</v>
      </c>
      <c r="M228" s="171"/>
      <c r="N228" s="171"/>
      <c r="O228" s="174"/>
      <c r="P228" s="40">
        <f>IF(O227&gt;=0.25,N227+M227,"CV&lt;25%")</f>
        <v>8.8085154657714053</v>
      </c>
      <c r="Q228" s="40">
        <f>IF(O227&gt;=0.25,N227-M227,"CV&lt;25%")</f>
        <v>4.8067027881968478</v>
      </c>
      <c r="R228" s="41" t="str">
        <f>IF(O227&lt;0.25,"PROPOSTA VÁLIDA",((IF(L228&gt;P228,"PROPOSTA FORA DOS LIMITES",IF(L228&lt;Q228,"PROPOSTA FORA DOS LIMITES","PROPOSTA VÁLIDA")))))</f>
        <v>PROPOSTA VÁLIDA</v>
      </c>
      <c r="S228" s="41">
        <f t="shared" si="54"/>
        <v>5.834940476190476</v>
      </c>
      <c r="T228" s="165"/>
      <c r="U228" s="168"/>
      <c r="V228" s="13"/>
    </row>
    <row r="229" spans="1:22" ht="19.899999999999999" customHeight="1" thickBot="1" x14ac:dyDescent="0.25">
      <c r="A229" s="178"/>
      <c r="B229" s="197"/>
      <c r="C229" s="200"/>
      <c r="D229" s="234"/>
      <c r="E229" s="60"/>
      <c r="F229" s="14" t="s">
        <v>26</v>
      </c>
      <c r="G229" s="15" t="s">
        <v>27</v>
      </c>
      <c r="H229" s="16" t="s">
        <v>307</v>
      </c>
      <c r="I229" s="43">
        <v>5.39</v>
      </c>
      <c r="J229" s="43">
        <v>29.9</v>
      </c>
      <c r="K229" s="43">
        <f>J229/E228</f>
        <v>8.8988095238095227E-2</v>
      </c>
      <c r="L229" s="43">
        <f t="shared" si="53"/>
        <v>5.4789880952380949</v>
      </c>
      <c r="M229" s="172"/>
      <c r="N229" s="172"/>
      <c r="O229" s="175"/>
      <c r="P229" s="44"/>
      <c r="Q229" s="44"/>
      <c r="R229" s="45" t="str">
        <f>IF(O227&lt;0.25,"PROPOSTA VÁLIDA",((IF(L229&gt;P228,"PROPOSTA FORA DOS LIMITES",IF(L229&lt;Q228,"PROPOSTA FORA DOS LIMITES","PROPOSTA VÁLIDA")))))</f>
        <v>PROPOSTA VÁLIDA</v>
      </c>
      <c r="S229" s="45">
        <f t="shared" si="54"/>
        <v>5.4789880952380949</v>
      </c>
      <c r="T229" s="166"/>
      <c r="U229" s="169"/>
    </row>
    <row r="230" spans="1:22" ht="19.899999999999999" customHeight="1" thickTop="1" x14ac:dyDescent="0.2">
      <c r="A230" s="176" t="s">
        <v>582</v>
      </c>
      <c r="B230" s="195" t="s">
        <v>309</v>
      </c>
      <c r="C230" s="198" t="s">
        <v>582</v>
      </c>
      <c r="D230" s="232"/>
      <c r="E230" s="58"/>
      <c r="F230" s="8" t="s">
        <v>207</v>
      </c>
      <c r="G230" s="19" t="s">
        <v>496</v>
      </c>
      <c r="H230" s="22" t="s">
        <v>308</v>
      </c>
      <c r="I230" s="21">
        <v>70.55</v>
      </c>
      <c r="J230" s="21">
        <v>21.08</v>
      </c>
      <c r="K230" s="21">
        <f>J230/E231</f>
        <v>0.75285714285714278</v>
      </c>
      <c r="L230" s="21">
        <f t="shared" ref="L230:L232" si="55">I230+K230</f>
        <v>71.302857142857135</v>
      </c>
      <c r="M230" s="170">
        <f>_xlfn.STDEV.S(L230:L232)</f>
        <v>3.9163082355169965</v>
      </c>
      <c r="N230" s="170">
        <f>(SUM(L230:L232))/((IF(L230=0,0,1))+(IF(L231=0,0,1))+(IF(L232=0,0,1)))</f>
        <v>68.587619047619043</v>
      </c>
      <c r="O230" s="173">
        <f>M230/N230</f>
        <v>5.7099346644442932E-2</v>
      </c>
      <c r="P230" s="37"/>
      <c r="Q230" s="37"/>
      <c r="R230" s="38" t="str">
        <f>IF(O230&lt;0.25,"PROPOSTA VÁLIDA",((IF(L230&gt;P231,"PROPOSTA FORA DOS LIMITES",IF(L230&lt;Q231,"PROPOSTA FORA DOS LIMITES","PROPOSTA VÁLIDA")))))</f>
        <v>PROPOSTA VÁLIDA</v>
      </c>
      <c r="S230" s="38">
        <f t="shared" ref="S230:S232" si="56">(IF(R230="PROPOSTA VÁLIDA",L230,0))</f>
        <v>71.302857142857135</v>
      </c>
      <c r="T230" s="164">
        <f>IF(O230&lt;0.25,AVERAGE(S230:S232),((IF(L230&gt;P231,0,IF(L230&lt;Q231,0,L230)))+(IF(L231&gt;P231,0,IF(L231&lt;Q231,0,L231)))+(IF(L232&gt;P231,0,IF(L232&lt;Q231,0,L232))))/(((IF(L230&gt;P231,0,IF(L230&lt;Q231,0,1))))+((IF(L231&gt;P231,0,IF(L231&lt;Q231,0,1))))+((IF(L232&gt;P231,0,IF(L232&lt;Q231,0,1))))))</f>
        <v>68.587619047619043</v>
      </c>
      <c r="U230" s="167">
        <f>IFERROR(T230*E231,"")</f>
        <v>1920.4533333333331</v>
      </c>
    </row>
    <row r="231" spans="1:22" ht="19.899999999999999" customHeight="1" x14ac:dyDescent="0.2">
      <c r="A231" s="177"/>
      <c r="B231" s="196"/>
      <c r="C231" s="199" t="s">
        <v>582</v>
      </c>
      <c r="D231" s="233"/>
      <c r="E231" s="59">
        <v>28</v>
      </c>
      <c r="F231" s="10" t="s">
        <v>221</v>
      </c>
      <c r="G231" s="11" t="s">
        <v>222</v>
      </c>
      <c r="H231" s="12" t="s">
        <v>310</v>
      </c>
      <c r="I231" s="20">
        <v>63.47</v>
      </c>
      <c r="J231" s="20">
        <v>17.59</v>
      </c>
      <c r="K231" s="20">
        <f>J231/E231</f>
        <v>0.62821428571428573</v>
      </c>
      <c r="L231" s="20">
        <f t="shared" si="55"/>
        <v>64.098214285714278</v>
      </c>
      <c r="M231" s="171"/>
      <c r="N231" s="171"/>
      <c r="O231" s="174"/>
      <c r="P231" s="40" t="str">
        <f>IF(O230&gt;=0.25,N230+M230,"CV&lt;25%")</f>
        <v>CV&lt;25%</v>
      </c>
      <c r="Q231" s="40" t="str">
        <f>IF(O230&gt;=0.25,N230-M230,"CV&lt;25%")</f>
        <v>CV&lt;25%</v>
      </c>
      <c r="R231" s="41" t="str">
        <f>IF(O230&lt;0.25,"PROPOSTA VÁLIDA",((IF(L231&gt;P231,"PROPOSTA FORA DOS LIMITES",IF(L231&lt;Q231,"PROPOSTA FORA DOS LIMITES","PROPOSTA VÁLIDA")))))</f>
        <v>PROPOSTA VÁLIDA</v>
      </c>
      <c r="S231" s="41">
        <f t="shared" si="56"/>
        <v>64.098214285714278</v>
      </c>
      <c r="T231" s="165"/>
      <c r="U231" s="168"/>
      <c r="V231" s="13"/>
    </row>
    <row r="232" spans="1:22" ht="19.899999999999999" customHeight="1" thickBot="1" x14ac:dyDescent="0.25">
      <c r="A232" s="178"/>
      <c r="B232" s="197"/>
      <c r="C232" s="200"/>
      <c r="D232" s="234"/>
      <c r="E232" s="60"/>
      <c r="F232" s="14" t="s">
        <v>854</v>
      </c>
      <c r="G232" s="15" t="s">
        <v>856</v>
      </c>
      <c r="H232" s="16" t="s">
        <v>855</v>
      </c>
      <c r="I232" s="43">
        <v>69.989999999999995</v>
      </c>
      <c r="J232" s="43">
        <v>10.41</v>
      </c>
      <c r="K232" s="43">
        <f>J232/E231</f>
        <v>0.37178571428571427</v>
      </c>
      <c r="L232" s="43">
        <f t="shared" si="55"/>
        <v>70.361785714285716</v>
      </c>
      <c r="M232" s="172"/>
      <c r="N232" s="172"/>
      <c r="O232" s="175"/>
      <c r="P232" s="44"/>
      <c r="Q232" s="44"/>
      <c r="R232" s="45" t="str">
        <f>IF(O230&lt;0.25,"PROPOSTA VÁLIDA",((IF(L232&gt;P231,"PROPOSTA FORA DOS LIMITES",IF(L232&lt;Q231,"PROPOSTA FORA DOS LIMITES","PROPOSTA VÁLIDA")))))</f>
        <v>PROPOSTA VÁLIDA</v>
      </c>
      <c r="S232" s="45">
        <f t="shared" si="56"/>
        <v>70.361785714285716</v>
      </c>
      <c r="T232" s="166"/>
      <c r="U232" s="169"/>
    </row>
    <row r="233" spans="1:22" ht="19.899999999999999" customHeight="1" thickTop="1" x14ac:dyDescent="0.2">
      <c r="A233" s="176" t="s">
        <v>583</v>
      </c>
      <c r="B233" s="188" t="s">
        <v>312</v>
      </c>
      <c r="C233" s="98"/>
      <c r="D233" s="198" t="s">
        <v>784</v>
      </c>
      <c r="E233" s="58"/>
      <c r="F233" s="8" t="s">
        <v>76</v>
      </c>
      <c r="G233" s="19" t="s">
        <v>77</v>
      </c>
      <c r="H233" s="22" t="s">
        <v>311</v>
      </c>
      <c r="I233" s="136"/>
      <c r="J233" s="125"/>
      <c r="K233" s="125"/>
      <c r="L233" s="125"/>
      <c r="M233" s="185"/>
      <c r="N233" s="185"/>
      <c r="O233" s="192"/>
      <c r="P233" s="113"/>
      <c r="Q233" s="113"/>
      <c r="R233" s="114"/>
      <c r="S233" s="114"/>
      <c r="T233" s="185"/>
      <c r="U233" s="185"/>
    </row>
    <row r="234" spans="1:22" ht="19.899999999999999" customHeight="1" x14ac:dyDescent="0.2">
      <c r="A234" s="177"/>
      <c r="B234" s="189"/>
      <c r="C234" s="104" t="s">
        <v>737</v>
      </c>
      <c r="D234" s="199"/>
      <c r="E234" s="59">
        <v>204.61</v>
      </c>
      <c r="F234" s="10" t="s">
        <v>28</v>
      </c>
      <c r="G234" s="11" t="s">
        <v>29</v>
      </c>
      <c r="H234" s="12" t="s">
        <v>313</v>
      </c>
      <c r="I234" s="126"/>
      <c r="J234" s="126"/>
      <c r="K234" s="126"/>
      <c r="L234" s="126"/>
      <c r="M234" s="186"/>
      <c r="N234" s="186"/>
      <c r="O234" s="193"/>
      <c r="P234" s="115"/>
      <c r="Q234" s="115"/>
      <c r="R234" s="116"/>
      <c r="S234" s="116"/>
      <c r="T234" s="186"/>
      <c r="U234" s="186"/>
      <c r="V234" s="13"/>
    </row>
    <row r="235" spans="1:22" ht="19.899999999999999" customHeight="1" thickBot="1" x14ac:dyDescent="0.25">
      <c r="A235" s="178"/>
      <c r="B235" s="190"/>
      <c r="C235" s="99"/>
      <c r="D235" s="200"/>
      <c r="E235" s="60"/>
      <c r="F235" s="14" t="s">
        <v>26</v>
      </c>
      <c r="G235" s="15" t="s">
        <v>27</v>
      </c>
      <c r="H235" s="16" t="s">
        <v>314</v>
      </c>
      <c r="I235" s="127"/>
      <c r="J235" s="127"/>
      <c r="K235" s="127"/>
      <c r="L235" s="127"/>
      <c r="M235" s="187"/>
      <c r="N235" s="187"/>
      <c r="O235" s="194"/>
      <c r="P235" s="117"/>
      <c r="Q235" s="117"/>
      <c r="R235" s="118"/>
      <c r="S235" s="118"/>
      <c r="T235" s="187"/>
      <c r="U235" s="187"/>
    </row>
    <row r="236" spans="1:22" ht="19.899999999999999" customHeight="1" thickTop="1" x14ac:dyDescent="0.2">
      <c r="A236" s="176" t="s">
        <v>584</v>
      </c>
      <c r="B236" s="188" t="s">
        <v>315</v>
      </c>
      <c r="C236" s="244" t="s">
        <v>584</v>
      </c>
      <c r="D236" s="103"/>
      <c r="E236" s="58"/>
      <c r="F236" s="8" t="s">
        <v>76</v>
      </c>
      <c r="G236" s="19" t="s">
        <v>77</v>
      </c>
      <c r="H236" s="22" t="s">
        <v>316</v>
      </c>
      <c r="I236" s="91">
        <f>127.94/2.4</f>
        <v>53.308333333333337</v>
      </c>
      <c r="J236" s="21">
        <v>89.9</v>
      </c>
      <c r="K236" s="21">
        <f>J236/E237</f>
        <v>0.43937246468892038</v>
      </c>
      <c r="L236" s="21">
        <f t="shared" ref="L236:L238" si="57">I236+K236</f>
        <v>53.74770579802226</v>
      </c>
      <c r="M236" s="170">
        <f>_xlfn.STDEV.S(L236:L238)</f>
        <v>12.123632361687189</v>
      </c>
      <c r="N236" s="170">
        <f>(SUM(L236:L238))/((IF(L236=0,0,1))+(IF(L237=0,0,1))+(IF(L238=0,0,1)))</f>
        <v>61.111739270916495</v>
      </c>
      <c r="O236" s="173">
        <f>M236/N236</f>
        <v>0.19838467218125652</v>
      </c>
      <c r="P236" s="37"/>
      <c r="Q236" s="37"/>
      <c r="R236" s="38" t="str">
        <f>IF(O236&lt;0.25,"PROPOSTA VÁLIDA",((IF(L236&gt;P237,"PROPOSTA FORA DOS LIMITES",IF(L236&lt;Q237,"PROPOSTA FORA DOS LIMITES","PROPOSTA VÁLIDA")))))</f>
        <v>PROPOSTA VÁLIDA</v>
      </c>
      <c r="S236" s="38">
        <f t="shared" ref="S236:S238" si="58">(IF(R236="PROPOSTA VÁLIDA",L236,0))</f>
        <v>53.74770579802226</v>
      </c>
      <c r="T236" s="164">
        <f>IF(O236&lt;0.25,AVERAGE(S236:S238),((IF(L236&gt;P237,0,IF(L236&lt;Q237,0,L236)))+(IF(L237&gt;P237,0,IF(L237&lt;Q237,0,L237)))+(IF(L238&gt;P237,0,IF(L238&lt;Q237,0,L238))))/(((IF(L236&gt;P237,0,IF(L236&lt;Q237,0,1))))+((IF(L237&gt;P237,0,IF(L237&lt;Q237,0,1))))+((IF(L238&gt;P237,0,IF(L238&lt;Q237,0,1))))))</f>
        <v>61.111739270916495</v>
      </c>
      <c r="U236" s="167">
        <f>IFERROR(T236*E237,"")</f>
        <v>12504.072972222224</v>
      </c>
    </row>
    <row r="237" spans="1:22" ht="19.899999999999999" customHeight="1" x14ac:dyDescent="0.2">
      <c r="A237" s="177"/>
      <c r="B237" s="189"/>
      <c r="C237" s="245"/>
      <c r="D237" s="104" t="s">
        <v>737</v>
      </c>
      <c r="E237" s="59">
        <v>204.61</v>
      </c>
      <c r="F237" s="10" t="s">
        <v>28</v>
      </c>
      <c r="G237" s="11" t="s">
        <v>29</v>
      </c>
      <c r="H237" s="12" t="s">
        <v>317</v>
      </c>
      <c r="I237" s="92">
        <f>179.9/2.4</f>
        <v>74.958333333333343</v>
      </c>
      <c r="J237" s="20">
        <v>29.9</v>
      </c>
      <c r="K237" s="20">
        <f>J237/E237</f>
        <v>0.14613166511900688</v>
      </c>
      <c r="L237" s="20">
        <f t="shared" si="57"/>
        <v>75.104464998452343</v>
      </c>
      <c r="M237" s="171"/>
      <c r="N237" s="171"/>
      <c r="O237" s="174"/>
      <c r="P237" s="40" t="str">
        <f>IF(O236&gt;=0.25,N236+M236,"CV&lt;25%")</f>
        <v>CV&lt;25%</v>
      </c>
      <c r="Q237" s="40" t="str">
        <f>IF(O236&gt;=0.25,N236-M236,"CV&lt;25%")</f>
        <v>CV&lt;25%</v>
      </c>
      <c r="R237" s="41" t="str">
        <f>IF(O236&lt;0.25,"PROPOSTA VÁLIDA",((IF(L237&gt;P237,"PROPOSTA FORA DOS LIMITES",IF(L237&lt;Q237,"PROPOSTA FORA DOS LIMITES","PROPOSTA VÁLIDA")))))</f>
        <v>PROPOSTA VÁLIDA</v>
      </c>
      <c r="S237" s="41">
        <f t="shared" si="58"/>
        <v>75.104464998452343</v>
      </c>
      <c r="T237" s="165"/>
      <c r="U237" s="168"/>
      <c r="V237" s="13"/>
    </row>
    <row r="238" spans="1:22" ht="19.899999999999999" customHeight="1" thickBot="1" x14ac:dyDescent="0.25">
      <c r="A238" s="178"/>
      <c r="B238" s="190"/>
      <c r="C238" s="246"/>
      <c r="D238" s="111"/>
      <c r="E238" s="60"/>
      <c r="F238" s="14" t="s">
        <v>26</v>
      </c>
      <c r="G238" s="15" t="s">
        <v>27</v>
      </c>
      <c r="H238" s="16" t="s">
        <v>318</v>
      </c>
      <c r="I238" s="93">
        <f>129.9/2.4</f>
        <v>54.125000000000007</v>
      </c>
      <c r="J238" s="43">
        <v>73.260000000000005</v>
      </c>
      <c r="K238" s="43">
        <f>J238/E237</f>
        <v>0.3580470162748644</v>
      </c>
      <c r="L238" s="43">
        <f t="shared" si="57"/>
        <v>54.483047016274874</v>
      </c>
      <c r="M238" s="172"/>
      <c r="N238" s="172"/>
      <c r="O238" s="175"/>
      <c r="P238" s="44"/>
      <c r="Q238" s="44"/>
      <c r="R238" s="45" t="str">
        <f>IF(O236&lt;0.25,"PROPOSTA VÁLIDA",((IF(L238&gt;P237,"PROPOSTA FORA DOS LIMITES",IF(L238&lt;Q237,"PROPOSTA FORA DOS LIMITES","PROPOSTA VÁLIDA")))))</f>
        <v>PROPOSTA VÁLIDA</v>
      </c>
      <c r="S238" s="45">
        <f t="shared" si="58"/>
        <v>54.483047016274874</v>
      </c>
      <c r="T238" s="166"/>
      <c r="U238" s="169"/>
    </row>
    <row r="239" spans="1:22" ht="19.899999999999999" customHeight="1" thickTop="1" thickBot="1" x14ac:dyDescent="0.25">
      <c r="A239" s="176" t="s">
        <v>585</v>
      </c>
      <c r="B239" s="195" t="s">
        <v>653</v>
      </c>
      <c r="C239" s="198" t="s">
        <v>532</v>
      </c>
      <c r="D239" s="103"/>
      <c r="E239" s="58"/>
      <c r="F239" s="8" t="s">
        <v>654</v>
      </c>
      <c r="G239" s="19" t="s">
        <v>657</v>
      </c>
      <c r="H239" s="68" t="s">
        <v>832</v>
      </c>
      <c r="I239" s="91">
        <v>80821.039999999994</v>
      </c>
      <c r="J239" s="21">
        <v>0</v>
      </c>
      <c r="K239" s="21">
        <f>J239/E240</f>
        <v>0</v>
      </c>
      <c r="L239" s="21">
        <f t="shared" si="37"/>
        <v>80821.039999999994</v>
      </c>
      <c r="M239" s="170">
        <f>_xlfn.STDEV.S(L239:L241)</f>
        <v>13684.475460433296</v>
      </c>
      <c r="N239" s="170">
        <f>(SUM(L239:L241))/((IF(L239=0,0,1))+(IF(L240=0,0,1))+(IF(L241=0,0,1)))</f>
        <v>86363.68</v>
      </c>
      <c r="O239" s="173">
        <f>M239/N239</f>
        <v>0.15845174106097953</v>
      </c>
      <c r="P239" s="37"/>
      <c r="Q239" s="37"/>
      <c r="R239" s="38" t="str">
        <f>IF(O239&lt;0.25,"PROPOSTA VÁLIDA",((IF(L239&gt;P240,"PROPOSTA FORA DOS LIMITES",IF(L239&lt;Q240,"PROPOSTA FORA DOS LIMITES","PROPOSTA VÁLIDA")))))</f>
        <v>PROPOSTA VÁLIDA</v>
      </c>
      <c r="S239" s="38">
        <f t="shared" ref="S239:S240" si="59">(IF(R239="PROPOSTA VÁLIDA",L239,0))</f>
        <v>80821.039999999994</v>
      </c>
      <c r="T239" s="164">
        <f>IF(O239&lt;0.25,AVERAGE(S239:S241),((IF(L239&gt;P240,0,IF(L239&lt;Q240,0,L239)))+(IF(L240&gt;P240,0,IF(L240&lt;Q240,0,L240)))+(IF(L241&gt;P240,0,IF(L241&lt;Q240,0,L241))))/(((IF(L239&gt;P240,0,IF(L239&lt;Q240,0,1))))+((IF(L240&gt;P240,0,IF(L240&lt;Q240,0,1))))+((IF(L241&gt;P240,0,IF(L241&lt;Q240,0,1))))))</f>
        <v>86363.68</v>
      </c>
      <c r="U239" s="167">
        <f>IFERROR(T239*E240,"")</f>
        <v>86363.68</v>
      </c>
    </row>
    <row r="240" spans="1:22" ht="19.899999999999999" customHeight="1" thickTop="1" x14ac:dyDescent="0.2">
      <c r="A240" s="177"/>
      <c r="B240" s="196"/>
      <c r="C240" s="199"/>
      <c r="D240" s="104" t="s">
        <v>737</v>
      </c>
      <c r="E240" s="59">
        <v>1</v>
      </c>
      <c r="F240" s="10" t="s">
        <v>655</v>
      </c>
      <c r="G240" s="11" t="s">
        <v>656</v>
      </c>
      <c r="H240" s="68" t="s">
        <v>833</v>
      </c>
      <c r="I240" s="92">
        <v>101950</v>
      </c>
      <c r="J240" s="20">
        <v>0</v>
      </c>
      <c r="K240" s="20">
        <f>J240/E240</f>
        <v>0</v>
      </c>
      <c r="L240" s="20">
        <f t="shared" si="37"/>
        <v>101950</v>
      </c>
      <c r="M240" s="171"/>
      <c r="N240" s="171"/>
      <c r="O240" s="174"/>
      <c r="P240" s="40" t="str">
        <f>IF(O239&gt;=0.25,N239+M239,"CV&lt;25%")</f>
        <v>CV&lt;25%</v>
      </c>
      <c r="Q240" s="40" t="str">
        <f>IF(O239&gt;=0.25,N239-M239,"CV&lt;25%")</f>
        <v>CV&lt;25%</v>
      </c>
      <c r="R240" s="41" t="str">
        <f>IF(O239&lt;0.25,"PROPOSTA VÁLIDA",((IF(L240&gt;P240,"PROPOSTA FORA DOS LIMITES",IF(L240&lt;Q240,"PROPOSTA FORA DOS LIMITES","PROPOSTA VÁLIDA")))))</f>
        <v>PROPOSTA VÁLIDA</v>
      </c>
      <c r="S240" s="41">
        <f t="shared" si="59"/>
        <v>101950</v>
      </c>
      <c r="T240" s="165"/>
      <c r="U240" s="168"/>
      <c r="V240" s="13"/>
    </row>
    <row r="241" spans="1:22" ht="19.899999999999999" customHeight="1" thickBot="1" x14ac:dyDescent="0.25">
      <c r="A241" s="178"/>
      <c r="B241" s="197"/>
      <c r="C241" s="200"/>
      <c r="D241" s="111"/>
      <c r="E241" s="60"/>
      <c r="F241" s="14" t="s">
        <v>40</v>
      </c>
      <c r="G241" s="15" t="s">
        <v>251</v>
      </c>
      <c r="H241" s="70" t="s">
        <v>716</v>
      </c>
      <c r="I241" s="93">
        <v>76320</v>
      </c>
      <c r="J241" s="43">
        <v>0</v>
      </c>
      <c r="K241" s="43">
        <f>J241/E240</f>
        <v>0</v>
      </c>
      <c r="L241" s="43">
        <f t="shared" si="37"/>
        <v>76320</v>
      </c>
      <c r="M241" s="172"/>
      <c r="N241" s="172"/>
      <c r="O241" s="175"/>
      <c r="P241" s="44"/>
      <c r="Q241" s="44"/>
      <c r="R241" s="45" t="str">
        <f>IF(O239&lt;0.25,"PROPOSTA VÁLIDA",((IF(L241&gt;P240,"PROPOSTA FORA DOS LIMITES",IF(L241&lt;Q240,"PROPOSTA FORA DOS LIMITES","PROPOSTA VÁLIDA")))))</f>
        <v>PROPOSTA VÁLIDA</v>
      </c>
      <c r="S241" s="45">
        <f t="shared" ref="S241:S247" si="60">(IF(R241="PROPOSTA VÁLIDA",L241,0))</f>
        <v>76320</v>
      </c>
      <c r="T241" s="166"/>
      <c r="U241" s="169"/>
    </row>
    <row r="242" spans="1:22" ht="19.899999999999999" customHeight="1" thickTop="1" x14ac:dyDescent="0.2">
      <c r="A242" s="176" t="s">
        <v>586</v>
      </c>
      <c r="B242" s="188" t="s">
        <v>319</v>
      </c>
      <c r="C242" s="198" t="s">
        <v>534</v>
      </c>
      <c r="D242" s="103"/>
      <c r="E242" s="58"/>
      <c r="F242" s="8" t="s">
        <v>321</v>
      </c>
      <c r="G242" s="19" t="s">
        <v>498</v>
      </c>
      <c r="H242" s="22" t="s">
        <v>320</v>
      </c>
      <c r="I242" s="91">
        <v>85.9</v>
      </c>
      <c r="J242" s="21">
        <v>0</v>
      </c>
      <c r="K242" s="151">
        <f>J242/E243</f>
        <v>0</v>
      </c>
      <c r="L242" s="21">
        <f t="shared" ref="L242:L247" si="61">I242+K242</f>
        <v>85.9</v>
      </c>
      <c r="M242" s="170">
        <f>_xlfn.STDEV.S(L242:L244)</f>
        <v>9.3562713864123399</v>
      </c>
      <c r="N242" s="170">
        <f>(SUM(L242:L244))/((IF(L242=0,0,1))+(IF(L243=0,0,1))+(IF(L244=0,0,1)))</f>
        <v>90.840454545454534</v>
      </c>
      <c r="O242" s="173">
        <f>M242/N242</f>
        <v>0.10299674779512107</v>
      </c>
      <c r="P242" s="37"/>
      <c r="Q242" s="37"/>
      <c r="R242" s="38" t="str">
        <f>IF(O242&lt;0.25,"PROPOSTA VÁLIDA",((IF(L242&gt;P243,"PROPOSTA FORA DOS LIMITES",IF(L242&lt;Q243,"PROPOSTA FORA DOS LIMITES","PROPOSTA VÁLIDA")))))</f>
        <v>PROPOSTA VÁLIDA</v>
      </c>
      <c r="S242" s="38">
        <f t="shared" si="60"/>
        <v>85.9</v>
      </c>
      <c r="T242" s="164">
        <f>IF(O242&lt;0.25,AVERAGE(S242:S244),((IF(L242&gt;P243,0,IF(L242&lt;Q243,0,L242)))+(IF(L243&gt;P243,0,IF(L243&lt;Q243,0,L243)))+(IF(L244&gt;P243,0,IF(L244&lt;Q243,0,L244))))/(((IF(L242&gt;P243,0,IF(L242&lt;Q243,0,1))))+((IF(L243&gt;P243,0,IF(L243&lt;Q243,0,1))))+((IF(L244&gt;P243,0,IF(L244&lt;Q243,0,1))))))</f>
        <v>90.840454545454534</v>
      </c>
      <c r="U242" s="167">
        <f>IFERROR(T242*E243,"")</f>
        <v>3996.9799999999996</v>
      </c>
    </row>
    <row r="243" spans="1:22" ht="19.899999999999999" customHeight="1" x14ac:dyDescent="0.2">
      <c r="A243" s="177"/>
      <c r="B243" s="189"/>
      <c r="C243" s="199"/>
      <c r="D243" s="104" t="s">
        <v>737</v>
      </c>
      <c r="E243" s="59">
        <v>44</v>
      </c>
      <c r="F243" s="10" t="s">
        <v>323</v>
      </c>
      <c r="G243" s="11" t="s">
        <v>499</v>
      </c>
      <c r="H243" s="12" t="s">
        <v>322</v>
      </c>
      <c r="I243" s="92">
        <v>101.07</v>
      </c>
      <c r="J243" s="20">
        <v>24.7</v>
      </c>
      <c r="K243" s="152">
        <f>J243/E243</f>
        <v>0.5613636363636364</v>
      </c>
      <c r="L243" s="20">
        <f t="shared" si="61"/>
        <v>101.63136363636363</v>
      </c>
      <c r="M243" s="171"/>
      <c r="N243" s="171"/>
      <c r="O243" s="174"/>
      <c r="P243" s="40" t="str">
        <f>IF(O242&gt;=0.25,N242+M242,"CV&lt;25%")</f>
        <v>CV&lt;25%</v>
      </c>
      <c r="Q243" s="40" t="str">
        <f>IF(O242&gt;=0.25,N242-M242,"CV&lt;25%")</f>
        <v>CV&lt;25%</v>
      </c>
      <c r="R243" s="41" t="str">
        <f>IF(O242&lt;0.25,"PROPOSTA VÁLIDA",((IF(L243&gt;P243,"PROPOSTA FORA DOS LIMITES",IF(L243&lt;Q243,"PROPOSTA FORA DOS LIMITES","PROPOSTA VÁLIDA")))))</f>
        <v>PROPOSTA VÁLIDA</v>
      </c>
      <c r="S243" s="41">
        <f t="shared" si="60"/>
        <v>101.63136363636363</v>
      </c>
      <c r="T243" s="165"/>
      <c r="U243" s="168"/>
      <c r="V243" s="13"/>
    </row>
    <row r="244" spans="1:22" ht="19.899999999999999" customHeight="1" thickBot="1" x14ac:dyDescent="0.25">
      <c r="A244" s="178"/>
      <c r="B244" s="190"/>
      <c r="C244" s="200"/>
      <c r="D244" s="111"/>
      <c r="E244" s="60"/>
      <c r="F244" s="14" t="s">
        <v>324</v>
      </c>
      <c r="G244" s="15" t="s">
        <v>500</v>
      </c>
      <c r="H244" s="16" t="s">
        <v>325</v>
      </c>
      <c r="I244" s="93">
        <v>84.99</v>
      </c>
      <c r="J244" s="43">
        <v>0</v>
      </c>
      <c r="K244" s="153">
        <f>J244/E243</f>
        <v>0</v>
      </c>
      <c r="L244" s="43">
        <f t="shared" si="61"/>
        <v>84.99</v>
      </c>
      <c r="M244" s="172"/>
      <c r="N244" s="172"/>
      <c r="O244" s="175"/>
      <c r="P244" s="44"/>
      <c r="Q244" s="44"/>
      <c r="R244" s="45" t="str">
        <f>IF(O242&lt;0.25,"PROPOSTA VÁLIDA",((IF(L244&gt;P243,"PROPOSTA FORA DOS LIMITES",IF(L244&lt;Q243,"PROPOSTA FORA DOS LIMITES","PROPOSTA VÁLIDA")))))</f>
        <v>PROPOSTA VÁLIDA</v>
      </c>
      <c r="S244" s="45">
        <f t="shared" si="60"/>
        <v>84.99</v>
      </c>
      <c r="T244" s="166"/>
      <c r="U244" s="169"/>
    </row>
    <row r="245" spans="1:22" ht="19.899999999999999" customHeight="1" thickTop="1" thickBot="1" x14ac:dyDescent="0.25">
      <c r="A245" s="176" t="s">
        <v>562</v>
      </c>
      <c r="B245" s="188" t="s">
        <v>339</v>
      </c>
      <c r="C245" s="198" t="s">
        <v>569</v>
      </c>
      <c r="D245" s="103"/>
      <c r="E245" s="58"/>
      <c r="F245" s="8" t="s">
        <v>785</v>
      </c>
      <c r="G245" s="19" t="s">
        <v>787</v>
      </c>
      <c r="H245" s="16" t="s">
        <v>786</v>
      </c>
      <c r="I245" s="91">
        <v>6.25</v>
      </c>
      <c r="J245" s="21">
        <v>10.51</v>
      </c>
      <c r="K245" s="151">
        <f>J245/E246</f>
        <v>1.6733004298678555E-3</v>
      </c>
      <c r="L245" s="21">
        <f t="shared" si="61"/>
        <v>6.2516733004298679</v>
      </c>
      <c r="M245" s="170">
        <f>_xlfn.STDEV.S(L245:L247)</f>
        <v>0.97995767412483659</v>
      </c>
      <c r="N245" s="170">
        <f>(SUM(L245:L247))/((IF(L245=0,0,1))+(IF(L246=0,0,1))+(IF(L247=0,0,1)))</f>
        <v>7.3557321021068836</v>
      </c>
      <c r="O245" s="173">
        <f>M245/N245</f>
        <v>0.13322367651809258</v>
      </c>
      <c r="P245" s="37"/>
      <c r="Q245" s="37"/>
      <c r="R245" s="38" t="str">
        <f>IF(O245&lt;0.25,"PROPOSTA VÁLIDA",((IF(L245&gt;P246,"PROPOSTA FORA DOS LIMITES",IF(L245&lt;Q246,"PROPOSTA FORA DOS LIMITES","PROPOSTA VÁLIDA")))))</f>
        <v>PROPOSTA VÁLIDA</v>
      </c>
      <c r="S245" s="38">
        <f t="shared" si="60"/>
        <v>6.2516733004298679</v>
      </c>
      <c r="T245" s="164">
        <f>IF(O245&lt;0.25,AVERAGE(S245:S247),((IF(L245&gt;P246,0,IF(L245&lt;Q246,0,L245)))+(IF(L246&gt;P246,0,IF(L246&lt;Q246,0,L246)))+(IF(L247&gt;P246,0,IF(L247&lt;Q246,0,L247))))/(((IF(L245&gt;P246,0,IF(L245&lt;Q246,0,1))))+((IF(L246&gt;P246,0,IF(L246&lt;Q246,0,1))))+((IF(L247&gt;P246,0,IF(L247&lt;Q246,0,1))))))</f>
        <v>7.3557321021068836</v>
      </c>
      <c r="U245" s="167">
        <f>IFERROR(T245*E246,"")</f>
        <v>46201.353333333333</v>
      </c>
    </row>
    <row r="246" spans="1:22" ht="19.899999999999999" customHeight="1" thickTop="1" x14ac:dyDescent="0.2">
      <c r="A246" s="177"/>
      <c r="B246" s="189"/>
      <c r="C246" s="199"/>
      <c r="D246" s="104" t="s">
        <v>737</v>
      </c>
      <c r="E246" s="59">
        <v>6281</v>
      </c>
      <c r="F246" s="10" t="s">
        <v>342</v>
      </c>
      <c r="G246" s="11" t="s">
        <v>505</v>
      </c>
      <c r="H246" s="12" t="s">
        <v>341</v>
      </c>
      <c r="I246" s="92">
        <v>7.69</v>
      </c>
      <c r="J246" s="20">
        <v>19.059999999999999</v>
      </c>
      <c r="K246" s="152">
        <f>J246/E246</f>
        <v>3.0345486387517908E-3</v>
      </c>
      <c r="L246" s="20">
        <f t="shared" si="61"/>
        <v>7.6930345486387521</v>
      </c>
      <c r="M246" s="171"/>
      <c r="N246" s="171"/>
      <c r="O246" s="174"/>
      <c r="P246" s="40" t="str">
        <f>IF(O245&gt;=0.25,N245+M245,"CV&lt;25%")</f>
        <v>CV&lt;25%</v>
      </c>
      <c r="Q246" s="40" t="str">
        <f>IF(O245&gt;=0.25,N245-M245,"CV&lt;25%")</f>
        <v>CV&lt;25%</v>
      </c>
      <c r="R246" s="41" t="str">
        <f>IF(O245&lt;0.25,"PROPOSTA VÁLIDA",((IF(L246&gt;P246,"PROPOSTA FORA DOS LIMITES",IF(L246&lt;Q246,"PROPOSTA FORA DOS LIMITES","PROPOSTA VÁLIDA")))))</f>
        <v>PROPOSTA VÁLIDA</v>
      </c>
      <c r="S246" s="41">
        <f t="shared" si="60"/>
        <v>7.6930345486387521</v>
      </c>
      <c r="T246" s="165"/>
      <c r="U246" s="168"/>
      <c r="V246" s="13"/>
    </row>
    <row r="247" spans="1:22" ht="19.899999999999999" customHeight="1" thickBot="1" x14ac:dyDescent="0.25">
      <c r="A247" s="178"/>
      <c r="B247" s="190"/>
      <c r="C247" s="200"/>
      <c r="D247" s="111"/>
      <c r="E247" s="60"/>
      <c r="F247" s="14" t="s">
        <v>23</v>
      </c>
      <c r="G247" s="15" t="s">
        <v>24</v>
      </c>
      <c r="H247" s="16" t="s">
        <v>340</v>
      </c>
      <c r="I247" s="93">
        <v>8.1199999999999992</v>
      </c>
      <c r="J247" s="43">
        <v>15.63</v>
      </c>
      <c r="K247" s="153">
        <f>J247/E246</f>
        <v>2.4884572520299316E-3</v>
      </c>
      <c r="L247" s="43">
        <f t="shared" si="61"/>
        <v>8.1224884572520288</v>
      </c>
      <c r="M247" s="172"/>
      <c r="N247" s="172"/>
      <c r="O247" s="175"/>
      <c r="P247" s="44"/>
      <c r="Q247" s="44"/>
      <c r="R247" s="45" t="str">
        <f>IF(O245&lt;0.25,"PROPOSTA VÁLIDA",((IF(L247&gt;P246,"PROPOSTA FORA DOS LIMITES",IF(L247&lt;Q246,"PROPOSTA FORA DOS LIMITES","PROPOSTA VÁLIDA")))))</f>
        <v>PROPOSTA VÁLIDA</v>
      </c>
      <c r="S247" s="45">
        <f t="shared" si="60"/>
        <v>8.1224884572520288</v>
      </c>
      <c r="T247" s="166"/>
      <c r="U247" s="169"/>
    </row>
    <row r="248" spans="1:22" ht="19.899999999999999" customHeight="1" thickTop="1" x14ac:dyDescent="0.2">
      <c r="A248" s="176" t="s">
        <v>587</v>
      </c>
      <c r="B248" s="188" t="s">
        <v>343</v>
      </c>
      <c r="C248" s="198" t="s">
        <v>789</v>
      </c>
      <c r="D248" s="103"/>
      <c r="E248" s="58"/>
      <c r="F248" s="8" t="s">
        <v>523</v>
      </c>
      <c r="G248" s="19" t="s">
        <v>506</v>
      </c>
      <c r="H248" s="22" t="s">
        <v>344</v>
      </c>
      <c r="I248" s="91">
        <v>199.79</v>
      </c>
      <c r="J248" s="21">
        <v>20.059999999999999</v>
      </c>
      <c r="K248" s="21">
        <f>J248/E249</f>
        <v>0.91181818181818175</v>
      </c>
      <c r="L248" s="21">
        <f t="shared" ref="L248:L250" si="62">I248+K248</f>
        <v>200.70181818181817</v>
      </c>
      <c r="M248" s="170">
        <f>_xlfn.STDEV.S(L248:L250)</f>
        <v>17.360419579468878</v>
      </c>
      <c r="N248" s="170">
        <f>(SUM(L248:L250))/((IF(L248=0,0,1))+(IF(L249=0,0,1))+(IF(L250=0,0,1)))</f>
        <v>181.47954545454544</v>
      </c>
      <c r="O248" s="173">
        <f>M248/N248</f>
        <v>9.5660475322366739E-2</v>
      </c>
      <c r="P248" s="37"/>
      <c r="Q248" s="37"/>
      <c r="R248" s="38" t="str">
        <f>IF(O248&lt;0.25,"PROPOSTA VÁLIDA",((IF(L248&gt;P249,"PROPOSTA FORA DOS LIMITES",IF(L248&lt;Q249,"PROPOSTA FORA DOS LIMITES","PROPOSTA VÁLIDA")))))</f>
        <v>PROPOSTA VÁLIDA</v>
      </c>
      <c r="S248" s="38">
        <f t="shared" ref="S248:S250" si="63">(IF(R248="PROPOSTA VÁLIDA",L248,0))</f>
        <v>200.70181818181817</v>
      </c>
      <c r="T248" s="164">
        <f>IF(O248&lt;0.25,AVERAGE(S248:S250),((IF(L248&gt;P249,0,IF(L248&lt;Q249,0,L248)))+(IF(L249&gt;P249,0,IF(L249&lt;Q249,0,L249)))+(IF(L250&gt;P249,0,IF(L250&lt;Q249,0,L250))))/(((IF(L248&gt;P249,0,IF(L248&lt;Q249,0,1))))+((IF(L249&gt;P249,0,IF(L249&lt;Q249,0,1))))+((IF(L250&gt;P249,0,IF(L250&lt;Q249,0,1))))))</f>
        <v>181.47954545454544</v>
      </c>
      <c r="U248" s="167">
        <f>IFERROR(T248*E249,"")</f>
        <v>3992.5499999999997</v>
      </c>
    </row>
    <row r="249" spans="1:22" ht="19.899999999999999" customHeight="1" x14ac:dyDescent="0.2">
      <c r="A249" s="177"/>
      <c r="B249" s="189"/>
      <c r="C249" s="199"/>
      <c r="D249" s="104" t="s">
        <v>737</v>
      </c>
      <c r="E249" s="59">
        <v>22</v>
      </c>
      <c r="F249" s="10" t="s">
        <v>524</v>
      </c>
      <c r="G249" s="11" t="s">
        <v>507</v>
      </c>
      <c r="H249" s="12" t="s">
        <v>345</v>
      </c>
      <c r="I249" s="92">
        <v>175.9</v>
      </c>
      <c r="J249" s="20">
        <v>19.670000000000002</v>
      </c>
      <c r="K249" s="20">
        <f>J249/E249</f>
        <v>0.89409090909090916</v>
      </c>
      <c r="L249" s="20">
        <f t="shared" si="62"/>
        <v>176.79409090909093</v>
      </c>
      <c r="M249" s="171"/>
      <c r="N249" s="171"/>
      <c r="O249" s="174"/>
      <c r="P249" s="40" t="str">
        <f>IF(O248&gt;=0.25,N248+M248,"CV&lt;25%")</f>
        <v>CV&lt;25%</v>
      </c>
      <c r="Q249" s="40" t="str">
        <f>IF(O248&gt;=0.25,N248-M248,"CV&lt;25%")</f>
        <v>CV&lt;25%</v>
      </c>
      <c r="R249" s="41" t="str">
        <f>IF(O248&lt;0.25,"PROPOSTA VÁLIDA",((IF(L249&gt;P249,"PROPOSTA FORA DOS LIMITES",IF(L249&lt;Q249,"PROPOSTA FORA DOS LIMITES","PROPOSTA VÁLIDA")))))</f>
        <v>PROPOSTA VÁLIDA</v>
      </c>
      <c r="S249" s="41">
        <f t="shared" si="63"/>
        <v>176.79409090909093</v>
      </c>
      <c r="T249" s="165"/>
      <c r="U249" s="168"/>
      <c r="V249" s="13"/>
    </row>
    <row r="250" spans="1:22" ht="20.100000000000001" customHeight="1" thickBot="1" x14ac:dyDescent="0.25">
      <c r="A250" s="178"/>
      <c r="B250" s="190"/>
      <c r="C250" s="200"/>
      <c r="D250" s="111"/>
      <c r="E250" s="60"/>
      <c r="F250" s="14" t="s">
        <v>525</v>
      </c>
      <c r="G250" s="15" t="s">
        <v>89</v>
      </c>
      <c r="H250" s="16" t="s">
        <v>346</v>
      </c>
      <c r="I250" s="93">
        <v>166.16</v>
      </c>
      <c r="J250" s="43">
        <v>17.22</v>
      </c>
      <c r="K250" s="43">
        <f>J250/E249</f>
        <v>0.78272727272727272</v>
      </c>
      <c r="L250" s="43">
        <f t="shared" si="62"/>
        <v>166.94272727272727</v>
      </c>
      <c r="M250" s="172"/>
      <c r="N250" s="172"/>
      <c r="O250" s="175"/>
      <c r="P250" s="44"/>
      <c r="Q250" s="44"/>
      <c r="R250" s="45" t="str">
        <f>IF(O248&lt;0.25,"PROPOSTA VÁLIDA",((IF(L250&gt;P249,"PROPOSTA FORA DOS LIMITES",IF(L250&lt;Q249,"PROPOSTA FORA DOS LIMITES","PROPOSTA VÁLIDA")))))</f>
        <v>PROPOSTA VÁLIDA</v>
      </c>
      <c r="S250" s="45">
        <f t="shared" si="63"/>
        <v>166.94272727272727</v>
      </c>
      <c r="T250" s="166"/>
      <c r="U250" s="169"/>
    </row>
    <row r="251" spans="1:22" ht="19.899999999999999" customHeight="1" thickTop="1" x14ac:dyDescent="0.2">
      <c r="A251" s="176" t="s">
        <v>588</v>
      </c>
      <c r="B251" s="195" t="s">
        <v>347</v>
      </c>
      <c r="C251" s="112"/>
      <c r="D251" s="198" t="s">
        <v>872</v>
      </c>
      <c r="E251" s="58"/>
      <c r="F251" s="8" t="s">
        <v>526</v>
      </c>
      <c r="G251" s="19" t="s">
        <v>142</v>
      </c>
      <c r="H251" s="22" t="s">
        <v>348</v>
      </c>
      <c r="I251" s="136"/>
      <c r="J251" s="125"/>
      <c r="K251" s="125"/>
      <c r="L251" s="125"/>
      <c r="M251" s="185"/>
      <c r="N251" s="185"/>
      <c r="O251" s="192"/>
      <c r="P251" s="113"/>
      <c r="Q251" s="113"/>
      <c r="R251" s="114"/>
      <c r="S251" s="114"/>
      <c r="T251" s="185"/>
      <c r="U251" s="185"/>
    </row>
    <row r="252" spans="1:22" ht="19.899999999999999" customHeight="1" x14ac:dyDescent="0.2">
      <c r="A252" s="177"/>
      <c r="B252" s="196"/>
      <c r="C252" s="104" t="s">
        <v>737</v>
      </c>
      <c r="D252" s="199"/>
      <c r="E252" s="59">
        <v>242</v>
      </c>
      <c r="F252" s="10" t="s">
        <v>642</v>
      </c>
      <c r="G252" s="11" t="s">
        <v>63</v>
      </c>
      <c r="H252" s="12" t="s">
        <v>349</v>
      </c>
      <c r="I252" s="126"/>
      <c r="J252" s="126"/>
      <c r="K252" s="126"/>
      <c r="L252" s="126"/>
      <c r="M252" s="186"/>
      <c r="N252" s="186"/>
      <c r="O252" s="193"/>
      <c r="P252" s="115"/>
      <c r="Q252" s="115"/>
      <c r="R252" s="116"/>
      <c r="S252" s="116"/>
      <c r="T252" s="186"/>
      <c r="U252" s="186"/>
      <c r="V252" s="13"/>
    </row>
    <row r="253" spans="1:22" ht="19.899999999999999" customHeight="1" thickBot="1" x14ac:dyDescent="0.25">
      <c r="A253" s="178"/>
      <c r="B253" s="197"/>
      <c r="C253" s="100"/>
      <c r="D253" s="200"/>
      <c r="E253" s="60"/>
      <c r="F253" s="14" t="s">
        <v>21</v>
      </c>
      <c r="G253" s="15" t="s">
        <v>22</v>
      </c>
      <c r="H253" s="16" t="s">
        <v>350</v>
      </c>
      <c r="I253" s="127"/>
      <c r="J253" s="127"/>
      <c r="K253" s="127"/>
      <c r="L253" s="127"/>
      <c r="M253" s="187"/>
      <c r="N253" s="187"/>
      <c r="O253" s="194"/>
      <c r="P253" s="117"/>
      <c r="Q253" s="117"/>
      <c r="R253" s="118"/>
      <c r="S253" s="118"/>
      <c r="T253" s="187"/>
      <c r="U253" s="187"/>
    </row>
    <row r="254" spans="1:22" ht="19.899999999999999" customHeight="1" thickTop="1" x14ac:dyDescent="0.2">
      <c r="A254" s="176" t="s">
        <v>594</v>
      </c>
      <c r="B254" s="195" t="s">
        <v>326</v>
      </c>
      <c r="C254" s="198" t="s">
        <v>594</v>
      </c>
      <c r="D254" s="112"/>
      <c r="E254" s="58"/>
      <c r="F254" s="8" t="s">
        <v>61</v>
      </c>
      <c r="G254" s="19" t="s">
        <v>518</v>
      </c>
      <c r="H254" s="22" t="s">
        <v>733</v>
      </c>
      <c r="I254" s="91">
        <v>3.54</v>
      </c>
      <c r="J254" s="21">
        <v>8.73</v>
      </c>
      <c r="K254" s="21">
        <f>J254/E255</f>
        <v>0.2030232558139535</v>
      </c>
      <c r="L254" s="21">
        <f t="shared" ref="L254:L256" si="64">I254+K254</f>
        <v>3.7430232558139536</v>
      </c>
      <c r="M254" s="170">
        <f>_xlfn.STDEV.S(L254:L256)</f>
        <v>0.64440601567184963</v>
      </c>
      <c r="N254" s="170">
        <f>(SUM(L254:L256))/((IF(L254=0,0,1))+(IF(L255=0,0,1))+(IF(L256=0,0,1)))</f>
        <v>3.8455813953488374</v>
      </c>
      <c r="O254" s="173">
        <f>M254/N254</f>
        <v>0.16757050480097685</v>
      </c>
      <c r="P254" s="37"/>
      <c r="Q254" s="37"/>
      <c r="R254" s="38" t="str">
        <f>IF(O254&lt;0.25,"PROPOSTA VÁLIDA",((IF(L254&gt;P255,"PROPOSTA FORA DOS LIMITES",IF(L254&lt;Q255,"PROPOSTA FORA DOS LIMITES","PROPOSTA VÁLIDA")))))</f>
        <v>PROPOSTA VÁLIDA</v>
      </c>
      <c r="S254" s="38">
        <f t="shared" ref="S254:S256" si="65">(IF(R254="PROPOSTA VÁLIDA",L254,0))</f>
        <v>3.7430232558139536</v>
      </c>
      <c r="T254" s="164">
        <f>IF(O254&lt;0.25,AVERAGE(S254:S256),((IF(L254&gt;P255,0,IF(L254&lt;Q255,0,L254)))+(IF(L255&gt;P255,0,IF(L255&lt;Q255,0,L255)))+(IF(L256&gt;P255,0,IF(L256&lt;Q255,0,L256))))/(((IF(L254&gt;P255,0,IF(L254&lt;Q255,0,1))))+((IF(L255&gt;P255,0,IF(L255&lt;Q255,0,1))))+((IF(L256&gt;P255,0,IF(L256&lt;Q255,0,1))))))</f>
        <v>3.8455813953488374</v>
      </c>
      <c r="U254" s="167">
        <f>IFERROR(T254*E255,"")</f>
        <v>165.36</v>
      </c>
    </row>
    <row r="255" spans="1:22" ht="19.899999999999999" customHeight="1" x14ac:dyDescent="0.2">
      <c r="A255" s="177"/>
      <c r="B255" s="196"/>
      <c r="C255" s="199" t="s">
        <v>594</v>
      </c>
      <c r="D255" s="104" t="s">
        <v>737</v>
      </c>
      <c r="E255" s="59">
        <v>43</v>
      </c>
      <c r="F255" s="10" t="s">
        <v>735</v>
      </c>
      <c r="G255" s="11" t="s">
        <v>501</v>
      </c>
      <c r="H255" s="12" t="s">
        <v>734</v>
      </c>
      <c r="I255" s="154">
        <v>2.75</v>
      </c>
      <c r="J255" s="20">
        <v>21.87</v>
      </c>
      <c r="K255" s="20">
        <f>J255/E255</f>
        <v>0.50860465116279074</v>
      </c>
      <c r="L255" s="20">
        <f t="shared" si="64"/>
        <v>3.2586046511627909</v>
      </c>
      <c r="M255" s="171"/>
      <c r="N255" s="171"/>
      <c r="O255" s="174"/>
      <c r="P255" s="40" t="str">
        <f>IF(O254&gt;=0.25,N254+M254,"CV&lt;25%")</f>
        <v>CV&lt;25%</v>
      </c>
      <c r="Q255" s="40" t="str">
        <f>IF(O254&gt;=0.25,N254-M254,"CV&lt;25%")</f>
        <v>CV&lt;25%</v>
      </c>
      <c r="R255" s="41" t="str">
        <f>IF(O254&lt;0.25,"PROPOSTA VÁLIDA",((IF(L255&gt;P255,"PROPOSTA FORA DOS LIMITES",IF(L255&lt;Q255,"PROPOSTA FORA DOS LIMITES","PROPOSTA VÁLIDA")))))</f>
        <v>PROPOSTA VÁLIDA</v>
      </c>
      <c r="S255" s="41">
        <f t="shared" si="65"/>
        <v>3.2586046511627909</v>
      </c>
      <c r="T255" s="165"/>
      <c r="U255" s="168"/>
      <c r="V255" s="13"/>
    </row>
    <row r="256" spans="1:22" ht="19.899999999999999" customHeight="1" thickBot="1" x14ac:dyDescent="0.25">
      <c r="A256" s="178"/>
      <c r="B256" s="197"/>
      <c r="C256" s="200"/>
      <c r="D256" s="100"/>
      <c r="E256" s="60"/>
      <c r="F256" s="14" t="s">
        <v>328</v>
      </c>
      <c r="G256" s="15" t="s">
        <v>502</v>
      </c>
      <c r="H256" s="16" t="s">
        <v>327</v>
      </c>
      <c r="I256" s="155">
        <v>4.28</v>
      </c>
      <c r="J256" s="43">
        <v>10.97</v>
      </c>
      <c r="K256" s="43">
        <f>J256/E255</f>
        <v>0.25511627906976747</v>
      </c>
      <c r="L256" s="43">
        <f t="shared" si="64"/>
        <v>4.5351162790697677</v>
      </c>
      <c r="M256" s="172"/>
      <c r="N256" s="172"/>
      <c r="O256" s="175"/>
      <c r="P256" s="44"/>
      <c r="Q256" s="44"/>
      <c r="R256" s="45" t="str">
        <f>IF(O254&lt;0.25,"PROPOSTA VÁLIDA",((IF(L256&gt;P255,"PROPOSTA FORA DOS LIMITES",IF(L256&lt;Q255,"PROPOSTA FORA DOS LIMITES","PROPOSTA VÁLIDA")))))</f>
        <v>PROPOSTA VÁLIDA</v>
      </c>
      <c r="S256" s="45">
        <f t="shared" si="65"/>
        <v>4.5351162790697677</v>
      </c>
      <c r="T256" s="166"/>
      <c r="U256" s="169"/>
    </row>
    <row r="257" spans="1:22" ht="19.899999999999999" customHeight="1" thickTop="1" x14ac:dyDescent="0.2">
      <c r="A257" s="176" t="s">
        <v>591</v>
      </c>
      <c r="B257" s="195" t="s">
        <v>590</v>
      </c>
      <c r="C257" s="112"/>
      <c r="D257" s="198" t="s">
        <v>790</v>
      </c>
      <c r="E257" s="58"/>
      <c r="F257" s="8" t="s">
        <v>363</v>
      </c>
      <c r="G257" s="19" t="s">
        <v>515</v>
      </c>
      <c r="H257" s="22" t="s">
        <v>364</v>
      </c>
      <c r="I257" s="136"/>
      <c r="J257" s="125"/>
      <c r="K257" s="125"/>
      <c r="L257" s="125"/>
      <c r="M257" s="185"/>
      <c r="N257" s="185"/>
      <c r="O257" s="192"/>
      <c r="P257" s="113"/>
      <c r="Q257" s="113"/>
      <c r="R257" s="114"/>
      <c r="S257" s="114"/>
      <c r="T257" s="185"/>
      <c r="U257" s="185"/>
    </row>
    <row r="258" spans="1:22" ht="19.899999999999999" customHeight="1" x14ac:dyDescent="0.2">
      <c r="A258" s="177"/>
      <c r="B258" s="196"/>
      <c r="C258" s="104" t="s">
        <v>737</v>
      </c>
      <c r="D258" s="199"/>
      <c r="E258" s="59">
        <v>28</v>
      </c>
      <c r="F258" s="10" t="s">
        <v>365</v>
      </c>
      <c r="G258" s="11" t="s">
        <v>516</v>
      </c>
      <c r="H258" s="12" t="s">
        <v>366</v>
      </c>
      <c r="I258" s="126"/>
      <c r="J258" s="126"/>
      <c r="K258" s="126"/>
      <c r="L258" s="126"/>
      <c r="M258" s="186"/>
      <c r="N258" s="186"/>
      <c r="O258" s="193"/>
      <c r="P258" s="115"/>
      <c r="Q258" s="115"/>
      <c r="R258" s="116"/>
      <c r="S258" s="116"/>
      <c r="T258" s="186"/>
      <c r="U258" s="186"/>
      <c r="V258" s="13"/>
    </row>
    <row r="259" spans="1:22" ht="19.899999999999999" customHeight="1" thickBot="1" x14ac:dyDescent="0.25">
      <c r="A259" s="178"/>
      <c r="B259" s="197"/>
      <c r="C259" s="100"/>
      <c r="D259" s="200"/>
      <c r="E259" s="60"/>
      <c r="F259" s="14" t="s">
        <v>368</v>
      </c>
      <c r="G259" s="15" t="s">
        <v>517</v>
      </c>
      <c r="H259" s="16" t="s">
        <v>367</v>
      </c>
      <c r="I259" s="127"/>
      <c r="J259" s="127"/>
      <c r="K259" s="127"/>
      <c r="L259" s="127"/>
      <c r="M259" s="187"/>
      <c r="N259" s="187"/>
      <c r="O259" s="194"/>
      <c r="P259" s="117"/>
      <c r="Q259" s="117"/>
      <c r="R259" s="118"/>
      <c r="S259" s="118"/>
      <c r="T259" s="187"/>
      <c r="U259" s="187"/>
    </row>
    <row r="260" spans="1:22" ht="19.899999999999999" customHeight="1" thickTop="1" x14ac:dyDescent="0.2">
      <c r="A260" s="176" t="s">
        <v>589</v>
      </c>
      <c r="B260" s="195" t="s">
        <v>369</v>
      </c>
      <c r="C260" s="112"/>
      <c r="D260" s="198" t="s">
        <v>791</v>
      </c>
      <c r="E260" s="58"/>
      <c r="F260" s="8" t="s">
        <v>306</v>
      </c>
      <c r="G260" s="19" t="s">
        <v>495</v>
      </c>
      <c r="H260" s="22" t="s">
        <v>372</v>
      </c>
      <c r="I260" s="136"/>
      <c r="J260" s="125"/>
      <c r="K260" s="125"/>
      <c r="L260" s="125"/>
      <c r="M260" s="185"/>
      <c r="N260" s="185"/>
      <c r="O260" s="192"/>
      <c r="P260" s="113"/>
      <c r="Q260" s="113"/>
      <c r="R260" s="114"/>
      <c r="S260" s="114"/>
      <c r="T260" s="185"/>
      <c r="U260" s="185"/>
    </row>
    <row r="261" spans="1:22" ht="19.899999999999999" customHeight="1" x14ac:dyDescent="0.2">
      <c r="A261" s="177"/>
      <c r="B261" s="196"/>
      <c r="C261" s="104" t="s">
        <v>737</v>
      </c>
      <c r="D261" s="199"/>
      <c r="E261" s="59">
        <v>5</v>
      </c>
      <c r="F261" s="10" t="s">
        <v>64</v>
      </c>
      <c r="G261" s="11" t="s">
        <v>65</v>
      </c>
      <c r="H261" s="12" t="s">
        <v>371</v>
      </c>
      <c r="I261" s="126"/>
      <c r="J261" s="126"/>
      <c r="K261" s="126"/>
      <c r="L261" s="126"/>
      <c r="M261" s="186"/>
      <c r="N261" s="186"/>
      <c r="O261" s="193"/>
      <c r="P261" s="115"/>
      <c r="Q261" s="115"/>
      <c r="R261" s="116"/>
      <c r="S261" s="116"/>
      <c r="T261" s="186"/>
      <c r="U261" s="186"/>
      <c r="V261" s="13"/>
    </row>
    <row r="262" spans="1:22" ht="19.899999999999999" customHeight="1" thickBot="1" x14ac:dyDescent="0.25">
      <c r="A262" s="178"/>
      <c r="B262" s="197"/>
      <c r="C262" s="100"/>
      <c r="D262" s="200"/>
      <c r="E262" s="60"/>
      <c r="F262" s="14" t="s">
        <v>76</v>
      </c>
      <c r="G262" s="15" t="s">
        <v>77</v>
      </c>
      <c r="H262" s="16" t="s">
        <v>370</v>
      </c>
      <c r="I262" s="127"/>
      <c r="J262" s="127"/>
      <c r="K262" s="127"/>
      <c r="L262" s="127"/>
      <c r="M262" s="187"/>
      <c r="N262" s="187"/>
      <c r="O262" s="194"/>
      <c r="P262" s="117"/>
      <c r="Q262" s="117"/>
      <c r="R262" s="118"/>
      <c r="S262" s="118"/>
      <c r="T262" s="187"/>
      <c r="U262" s="187"/>
    </row>
    <row r="263" spans="1:22" ht="19.899999999999999" customHeight="1" thickTop="1" x14ac:dyDescent="0.2">
      <c r="A263" s="176" t="s">
        <v>563</v>
      </c>
      <c r="B263" s="195" t="s">
        <v>373</v>
      </c>
      <c r="C263" s="119"/>
      <c r="D263" s="112"/>
      <c r="E263" s="58"/>
      <c r="F263" s="8" t="s">
        <v>76</v>
      </c>
      <c r="G263" s="19" t="s">
        <v>77</v>
      </c>
      <c r="H263" s="22" t="s">
        <v>375</v>
      </c>
      <c r="I263" s="21">
        <v>25.4</v>
      </c>
      <c r="J263" s="21">
        <v>23.87</v>
      </c>
      <c r="K263" s="21">
        <f>J263/E264</f>
        <v>1.9891666666666667</v>
      </c>
      <c r="L263" s="21">
        <f t="shared" ref="L263:L265" si="66">I263+K263</f>
        <v>27.389166666666664</v>
      </c>
      <c r="M263" s="170">
        <f>_xlfn.STDEV.S(L263:L265)</f>
        <v>4.1419512254134361</v>
      </c>
      <c r="N263" s="170">
        <f>(SUM(L263:L265))/((IF(L263=0,0,1))+(IF(L264=0,0,1))+(IF(L265=0,0,1)))</f>
        <v>30.031388888888888</v>
      </c>
      <c r="O263" s="173">
        <f>M263/N263</f>
        <v>0.13792073489301351</v>
      </c>
      <c r="P263" s="37"/>
      <c r="Q263" s="37"/>
      <c r="R263" s="38" t="str">
        <f>IF(O263&lt;0.25,"PROPOSTA VÁLIDA",((IF(L263&gt;P264,"PROPOSTA FORA DOS LIMITES",IF(L263&lt;Q264,"PROPOSTA FORA DOS LIMITES","PROPOSTA VÁLIDA")))))</f>
        <v>PROPOSTA VÁLIDA</v>
      </c>
      <c r="S263" s="38">
        <f t="shared" ref="S263:S265" si="67">(IF(R263="PROPOSTA VÁLIDA",L263,0))</f>
        <v>27.389166666666664</v>
      </c>
      <c r="T263" s="164">
        <f>IF(O263&lt;0.25,AVERAGE(S263:S265),((IF(L263&gt;P264,0,IF(L263&lt;Q264,0,L263)))+(IF(L264&gt;P264,0,IF(L264&lt;Q264,0,L264)))+(IF(L265&gt;P264,0,IF(L265&lt;Q264,0,L265))))/(((IF(L263&gt;P264,0,IF(L263&lt;Q264,0,1))))+((IF(L264&gt;P264,0,IF(L264&lt;Q264,0,1))))+((IF(L265&gt;P264,0,IF(L265&lt;Q264,0,1))))))</f>
        <v>30.031388888888888</v>
      </c>
      <c r="U263" s="167">
        <f>IFERROR(T263*E264,"")</f>
        <v>360.37666666666667</v>
      </c>
    </row>
    <row r="264" spans="1:22" ht="19.899999999999999" customHeight="1" x14ac:dyDescent="0.2">
      <c r="A264" s="177"/>
      <c r="B264" s="196"/>
      <c r="C264" s="123" t="s">
        <v>563</v>
      </c>
      <c r="D264" s="104" t="s">
        <v>737</v>
      </c>
      <c r="E264" s="59">
        <v>12</v>
      </c>
      <c r="F264" s="10" t="s">
        <v>374</v>
      </c>
      <c r="G264" s="11" t="s">
        <v>497</v>
      </c>
      <c r="H264" s="12" t="s">
        <v>376</v>
      </c>
      <c r="I264" s="20">
        <v>27.9</v>
      </c>
      <c r="J264" s="20">
        <v>0</v>
      </c>
      <c r="K264" s="20">
        <f>J264/E264</f>
        <v>0</v>
      </c>
      <c r="L264" s="20">
        <f t="shared" si="66"/>
        <v>27.9</v>
      </c>
      <c r="M264" s="171"/>
      <c r="N264" s="171"/>
      <c r="O264" s="174"/>
      <c r="P264" s="40" t="str">
        <f>IF(O263&gt;=0.25,N263+M263,"CV&lt;25%")</f>
        <v>CV&lt;25%</v>
      </c>
      <c r="Q264" s="40" t="str">
        <f>IF(O263&gt;=0.25,N263-M263,"CV&lt;25%")</f>
        <v>CV&lt;25%</v>
      </c>
      <c r="R264" s="41" t="str">
        <f>IF(O263&lt;0.25,"PROPOSTA VÁLIDA",((IF(L264&gt;P264,"PROPOSTA FORA DOS LIMITES",IF(L264&lt;Q264,"PROPOSTA FORA DOS LIMITES","PROPOSTA VÁLIDA")))))</f>
        <v>PROPOSTA VÁLIDA</v>
      </c>
      <c r="S264" s="41">
        <f t="shared" si="67"/>
        <v>27.9</v>
      </c>
      <c r="T264" s="165"/>
      <c r="U264" s="168"/>
      <c r="V264" s="13"/>
    </row>
    <row r="265" spans="1:22" ht="19.899999999999999" customHeight="1" thickBot="1" x14ac:dyDescent="0.25">
      <c r="A265" s="178"/>
      <c r="B265" s="197"/>
      <c r="C265" s="121"/>
      <c r="D265" s="100"/>
      <c r="E265" s="60"/>
      <c r="F265" s="14" t="s">
        <v>61</v>
      </c>
      <c r="G265" s="15" t="s">
        <v>518</v>
      </c>
      <c r="H265" s="16" t="s">
        <v>377</v>
      </c>
      <c r="I265" s="43">
        <v>33.950000000000003</v>
      </c>
      <c r="J265" s="43">
        <v>10.26</v>
      </c>
      <c r="K265" s="43">
        <f>J265/E264</f>
        <v>0.85499999999999998</v>
      </c>
      <c r="L265" s="43">
        <f t="shared" si="66"/>
        <v>34.805</v>
      </c>
      <c r="M265" s="172"/>
      <c r="N265" s="172"/>
      <c r="O265" s="175"/>
      <c r="P265" s="44"/>
      <c r="Q265" s="44"/>
      <c r="R265" s="45" t="str">
        <f>IF(O263&lt;0.25,"PROPOSTA VÁLIDA",((IF(L265&gt;P264,"PROPOSTA FORA DOS LIMITES",IF(L265&lt;Q264,"PROPOSTA FORA DOS LIMITES","PROPOSTA VÁLIDA")))))</f>
        <v>PROPOSTA VÁLIDA</v>
      </c>
      <c r="S265" s="45">
        <f t="shared" si="67"/>
        <v>34.805</v>
      </c>
      <c r="T265" s="166"/>
      <c r="U265" s="169"/>
    </row>
    <row r="266" spans="1:22" ht="19.899999999999999" customHeight="1" thickTop="1" x14ac:dyDescent="0.2">
      <c r="A266" s="176" t="s">
        <v>564</v>
      </c>
      <c r="B266" s="195" t="s">
        <v>379</v>
      </c>
      <c r="C266" s="112"/>
      <c r="D266" s="198" t="s">
        <v>792</v>
      </c>
      <c r="E266" s="58"/>
      <c r="F266" s="8" t="s">
        <v>76</v>
      </c>
      <c r="G266" s="19" t="s">
        <v>77</v>
      </c>
      <c r="H266" s="22" t="s">
        <v>378</v>
      </c>
      <c r="I266" s="136"/>
      <c r="J266" s="125"/>
      <c r="K266" s="125"/>
      <c r="L266" s="125"/>
      <c r="M266" s="185"/>
      <c r="N266" s="185"/>
      <c r="O266" s="192"/>
      <c r="P266" s="113"/>
      <c r="Q266" s="113"/>
      <c r="R266" s="114"/>
      <c r="S266" s="114"/>
      <c r="T266" s="185"/>
      <c r="U266" s="185"/>
    </row>
    <row r="267" spans="1:22" ht="19.899999999999999" customHeight="1" x14ac:dyDescent="0.2">
      <c r="A267" s="177"/>
      <c r="B267" s="196"/>
      <c r="C267" s="104" t="s">
        <v>737</v>
      </c>
      <c r="D267" s="199"/>
      <c r="E267" s="59">
        <v>12</v>
      </c>
      <c r="F267" s="10" t="s">
        <v>19</v>
      </c>
      <c r="G267" s="11" t="s">
        <v>519</v>
      </c>
      <c r="H267" s="12" t="s">
        <v>380</v>
      </c>
      <c r="I267" s="126"/>
      <c r="J267" s="126"/>
      <c r="K267" s="126"/>
      <c r="L267" s="126"/>
      <c r="M267" s="186"/>
      <c r="N267" s="186"/>
      <c r="O267" s="193"/>
      <c r="P267" s="115"/>
      <c r="Q267" s="115"/>
      <c r="R267" s="116"/>
      <c r="S267" s="116"/>
      <c r="T267" s="186"/>
      <c r="U267" s="186"/>
      <c r="V267" s="13"/>
    </row>
    <row r="268" spans="1:22" ht="19.899999999999999" customHeight="1" thickBot="1" x14ac:dyDescent="0.25">
      <c r="A268" s="178"/>
      <c r="B268" s="197"/>
      <c r="C268" s="100"/>
      <c r="D268" s="200"/>
      <c r="E268" s="60"/>
      <c r="F268" s="14" t="s">
        <v>381</v>
      </c>
      <c r="G268" s="15" t="s">
        <v>520</v>
      </c>
      <c r="H268" s="16" t="s">
        <v>382</v>
      </c>
      <c r="I268" s="127"/>
      <c r="J268" s="127"/>
      <c r="K268" s="127"/>
      <c r="L268" s="127"/>
      <c r="M268" s="187"/>
      <c r="N268" s="187"/>
      <c r="O268" s="194"/>
      <c r="P268" s="117"/>
      <c r="Q268" s="117"/>
      <c r="R268" s="118"/>
      <c r="S268" s="118"/>
      <c r="T268" s="187"/>
      <c r="U268" s="187"/>
    </row>
    <row r="269" spans="1:22" ht="19.899999999999999" customHeight="1" thickTop="1" x14ac:dyDescent="0.2">
      <c r="A269" s="176" t="s">
        <v>565</v>
      </c>
      <c r="B269" s="195" t="s">
        <v>383</v>
      </c>
      <c r="C269" s="112"/>
      <c r="D269" s="198" t="s">
        <v>793</v>
      </c>
      <c r="E269" s="58"/>
      <c r="F269" s="8" t="s">
        <v>88</v>
      </c>
      <c r="G269" s="19" t="s">
        <v>89</v>
      </c>
      <c r="H269" s="22" t="s">
        <v>385</v>
      </c>
      <c r="I269" s="136"/>
      <c r="J269" s="125"/>
      <c r="K269" s="125"/>
      <c r="L269" s="125"/>
      <c r="M269" s="185"/>
      <c r="N269" s="185"/>
      <c r="O269" s="192"/>
      <c r="P269" s="113"/>
      <c r="Q269" s="113"/>
      <c r="R269" s="114"/>
      <c r="S269" s="114"/>
      <c r="T269" s="185"/>
      <c r="U269" s="185"/>
    </row>
    <row r="270" spans="1:22" ht="19.899999999999999" customHeight="1" x14ac:dyDescent="0.2">
      <c r="A270" s="177"/>
      <c r="B270" s="196"/>
      <c r="C270" s="104" t="s">
        <v>737</v>
      </c>
      <c r="D270" s="199"/>
      <c r="E270" s="59">
        <v>42</v>
      </c>
      <c r="F270" s="10" t="s">
        <v>76</v>
      </c>
      <c r="G270" s="11" t="s">
        <v>77</v>
      </c>
      <c r="H270" s="12" t="s">
        <v>384</v>
      </c>
      <c r="I270" s="126"/>
      <c r="J270" s="126"/>
      <c r="K270" s="126"/>
      <c r="L270" s="126"/>
      <c r="M270" s="186"/>
      <c r="N270" s="186"/>
      <c r="O270" s="193"/>
      <c r="P270" s="115"/>
      <c r="Q270" s="115"/>
      <c r="R270" s="116"/>
      <c r="S270" s="116"/>
      <c r="T270" s="186"/>
      <c r="U270" s="186"/>
      <c r="V270" s="13"/>
    </row>
    <row r="271" spans="1:22" ht="19.899999999999999" customHeight="1" thickBot="1" x14ac:dyDescent="0.25">
      <c r="A271" s="178"/>
      <c r="B271" s="197"/>
      <c r="C271" s="100"/>
      <c r="D271" s="200"/>
      <c r="E271" s="60"/>
      <c r="F271" s="14" t="s">
        <v>61</v>
      </c>
      <c r="G271" s="15" t="s">
        <v>518</v>
      </c>
      <c r="H271" s="16" t="s">
        <v>386</v>
      </c>
      <c r="I271" s="127"/>
      <c r="J271" s="127"/>
      <c r="K271" s="127"/>
      <c r="L271" s="127"/>
      <c r="M271" s="187"/>
      <c r="N271" s="187"/>
      <c r="O271" s="194"/>
      <c r="P271" s="117"/>
      <c r="Q271" s="117"/>
      <c r="R271" s="118"/>
      <c r="S271" s="118"/>
      <c r="T271" s="187"/>
      <c r="U271" s="187"/>
    </row>
    <row r="272" spans="1:22" ht="19.899999999999999" customHeight="1" thickTop="1" x14ac:dyDescent="0.2">
      <c r="A272" s="176" t="s">
        <v>566</v>
      </c>
      <c r="B272" s="195" t="s">
        <v>387</v>
      </c>
      <c r="C272" s="112"/>
      <c r="D272" s="198" t="s">
        <v>794</v>
      </c>
      <c r="E272" s="58"/>
      <c r="F272" s="8" t="s">
        <v>76</v>
      </c>
      <c r="G272" s="19" t="s">
        <v>77</v>
      </c>
      <c r="H272" s="22" t="s">
        <v>388</v>
      </c>
      <c r="I272" s="136"/>
      <c r="J272" s="125"/>
      <c r="K272" s="125"/>
      <c r="L272" s="125"/>
      <c r="M272" s="185"/>
      <c r="N272" s="185"/>
      <c r="O272" s="192"/>
      <c r="P272" s="113"/>
      <c r="Q272" s="113"/>
      <c r="R272" s="114"/>
      <c r="S272" s="114"/>
      <c r="T272" s="185"/>
      <c r="U272" s="185"/>
    </row>
    <row r="273" spans="1:22" ht="19.899999999999999" customHeight="1" x14ac:dyDescent="0.2">
      <c r="A273" s="177"/>
      <c r="B273" s="196"/>
      <c r="C273" s="104" t="s">
        <v>737</v>
      </c>
      <c r="D273" s="199"/>
      <c r="E273" s="59">
        <v>7</v>
      </c>
      <c r="F273" s="10" t="s">
        <v>61</v>
      </c>
      <c r="G273" s="11" t="s">
        <v>518</v>
      </c>
      <c r="H273" s="12" t="s">
        <v>389</v>
      </c>
      <c r="I273" s="126"/>
      <c r="J273" s="126"/>
      <c r="K273" s="126"/>
      <c r="L273" s="126"/>
      <c r="M273" s="186"/>
      <c r="N273" s="186"/>
      <c r="O273" s="193"/>
      <c r="P273" s="115"/>
      <c r="Q273" s="115"/>
      <c r="R273" s="116"/>
      <c r="S273" s="116"/>
      <c r="T273" s="186"/>
      <c r="U273" s="186"/>
      <c r="V273" s="13"/>
    </row>
    <row r="274" spans="1:22" ht="19.899999999999999" customHeight="1" thickBot="1" x14ac:dyDescent="0.25">
      <c r="A274" s="178"/>
      <c r="B274" s="197"/>
      <c r="C274" s="100"/>
      <c r="D274" s="200"/>
      <c r="E274" s="60"/>
      <c r="F274" s="14" t="s">
        <v>392</v>
      </c>
      <c r="G274" s="15" t="s">
        <v>521</v>
      </c>
      <c r="H274" s="16" t="s">
        <v>393</v>
      </c>
      <c r="I274" s="127"/>
      <c r="J274" s="127"/>
      <c r="K274" s="127"/>
      <c r="L274" s="127"/>
      <c r="M274" s="187"/>
      <c r="N274" s="187"/>
      <c r="O274" s="194"/>
      <c r="P274" s="117"/>
      <c r="Q274" s="117"/>
      <c r="R274" s="118"/>
      <c r="S274" s="118"/>
      <c r="T274" s="187"/>
      <c r="U274" s="187"/>
    </row>
    <row r="275" spans="1:22" ht="19.899999999999999" customHeight="1" thickTop="1" x14ac:dyDescent="0.2">
      <c r="A275" s="176" t="s">
        <v>592</v>
      </c>
      <c r="B275" s="195" t="s">
        <v>390</v>
      </c>
      <c r="C275" s="198" t="s">
        <v>557</v>
      </c>
      <c r="D275" s="103"/>
      <c r="E275" s="58"/>
      <c r="F275" s="8" t="s">
        <v>804</v>
      </c>
      <c r="G275" s="19" t="s">
        <v>805</v>
      </c>
      <c r="H275" s="22" t="s">
        <v>806</v>
      </c>
      <c r="I275" s="91">
        <v>435</v>
      </c>
      <c r="J275" s="21">
        <v>24.79</v>
      </c>
      <c r="K275" s="21">
        <f>J275/E276</f>
        <v>3.5414285714285714</v>
      </c>
      <c r="L275" s="21">
        <f t="shared" ref="L275:L280" si="68">I275+K275</f>
        <v>438.54142857142858</v>
      </c>
      <c r="M275" s="170">
        <f>_xlfn.STDEV.S(L275:L277)</f>
        <v>19.833767742341394</v>
      </c>
      <c r="N275" s="170">
        <f>(SUM(L275:L277))/((IF(L275=0,0,1))+(IF(L276=0,0,1))+(IF(L277=0,0,1)))</f>
        <v>454.37857142857143</v>
      </c>
      <c r="O275" s="173">
        <f>M275/N275</f>
        <v>4.3650314934491299E-2</v>
      </c>
      <c r="P275" s="37"/>
      <c r="Q275" s="37"/>
      <c r="R275" s="38" t="str">
        <f>IF(O275&lt;0.25,"PROPOSTA VÁLIDA",((IF(L275&gt;P276,"PROPOSTA FORA DOS LIMITES",IF(L275&lt;Q276,"PROPOSTA FORA DOS LIMITES","PROPOSTA VÁLIDA")))))</f>
        <v>PROPOSTA VÁLIDA</v>
      </c>
      <c r="S275" s="38">
        <f t="shared" ref="S275:S280" si="69">(IF(R275="PROPOSTA VÁLIDA",L275,0))</f>
        <v>438.54142857142858</v>
      </c>
      <c r="T275" s="164">
        <f>IF(O275&lt;0.25,AVERAGE(S275:S277),((IF(L275&gt;P276,0,IF(L275&lt;Q276,0,L275)))+(IF(L276&gt;P276,0,IF(L276&lt;Q276,0,L276)))+(IF(L277&gt;P276,0,IF(L277&lt;Q276,0,L277))))/(((IF(L275&gt;P276,0,IF(L275&lt;Q276,0,1))))+((IF(L276&gt;P276,0,IF(L276&lt;Q276,0,1))))+((IF(L277&gt;P276,0,IF(L277&lt;Q276,0,1))))))</f>
        <v>454.37857142857143</v>
      </c>
      <c r="U275" s="167">
        <f>IFERROR(T275*E276,"")</f>
        <v>3180.65</v>
      </c>
    </row>
    <row r="276" spans="1:22" ht="19.899999999999999" customHeight="1" x14ac:dyDescent="0.2">
      <c r="A276" s="177"/>
      <c r="B276" s="196"/>
      <c r="C276" s="199"/>
      <c r="D276" s="104"/>
      <c r="E276" s="59">
        <v>7</v>
      </c>
      <c r="F276" s="10" t="s">
        <v>807</v>
      </c>
      <c r="G276" s="11"/>
      <c r="H276" s="12" t="s">
        <v>808</v>
      </c>
      <c r="I276" s="92">
        <v>447.97</v>
      </c>
      <c r="J276" s="20">
        <v>0</v>
      </c>
      <c r="K276" s="20">
        <f>J276/E276</f>
        <v>0</v>
      </c>
      <c r="L276" s="20">
        <f t="shared" si="68"/>
        <v>447.97</v>
      </c>
      <c r="M276" s="171"/>
      <c r="N276" s="171"/>
      <c r="O276" s="174"/>
      <c r="P276" s="40" t="str">
        <f>IF(O275&gt;=0.25,N275+M275,"CV&lt;25%")</f>
        <v>CV&lt;25%</v>
      </c>
      <c r="Q276" s="40" t="str">
        <f>IF(O275&gt;=0.25,N275-M275,"CV&lt;25%")</f>
        <v>CV&lt;25%</v>
      </c>
      <c r="R276" s="41" t="str">
        <f>IF(O275&lt;0.25,"PROPOSTA VÁLIDA",((IF(L276&gt;P276,"PROPOSTA FORA DOS LIMITES",IF(L276&lt;Q276,"PROPOSTA FORA DOS LIMITES","PROPOSTA VÁLIDA")))))</f>
        <v>PROPOSTA VÁLIDA</v>
      </c>
      <c r="S276" s="41">
        <f t="shared" si="69"/>
        <v>447.97</v>
      </c>
      <c r="T276" s="165"/>
      <c r="U276" s="168"/>
      <c r="V276" s="13"/>
    </row>
    <row r="277" spans="1:22" ht="19.899999999999999" customHeight="1" thickBot="1" x14ac:dyDescent="0.25">
      <c r="A277" s="178"/>
      <c r="B277" s="197"/>
      <c r="C277" s="200"/>
      <c r="D277" s="111"/>
      <c r="E277" s="60"/>
      <c r="F277" s="128" t="s">
        <v>795</v>
      </c>
      <c r="G277" s="15" t="s">
        <v>797</v>
      </c>
      <c r="H277" s="16" t="s">
        <v>796</v>
      </c>
      <c r="I277" s="93">
        <v>468.9</v>
      </c>
      <c r="J277" s="43">
        <v>54.07</v>
      </c>
      <c r="K277" s="43">
        <f>J277/E276</f>
        <v>7.7242857142857142</v>
      </c>
      <c r="L277" s="43">
        <f t="shared" si="68"/>
        <v>476.62428571428569</v>
      </c>
      <c r="M277" s="172"/>
      <c r="N277" s="172"/>
      <c r="O277" s="175"/>
      <c r="P277" s="44"/>
      <c r="Q277" s="44"/>
      <c r="R277" s="45" t="str">
        <f>IF(O275&lt;0.25,"PROPOSTA VÁLIDA",((IF(L277&gt;P276,"PROPOSTA FORA DOS LIMITES",IF(L277&lt;Q276,"PROPOSTA FORA DOS LIMITES","PROPOSTA VÁLIDA")))))</f>
        <v>PROPOSTA VÁLIDA</v>
      </c>
      <c r="S277" s="45">
        <f t="shared" si="69"/>
        <v>476.62428571428569</v>
      </c>
      <c r="T277" s="166"/>
      <c r="U277" s="169"/>
    </row>
    <row r="278" spans="1:22" ht="19.899999999999999" customHeight="1" thickTop="1" x14ac:dyDescent="0.2">
      <c r="A278" s="176" t="s">
        <v>593</v>
      </c>
      <c r="B278" s="188" t="s">
        <v>391</v>
      </c>
      <c r="C278" s="198" t="s">
        <v>571</v>
      </c>
      <c r="D278" s="103"/>
      <c r="E278" s="58"/>
      <c r="F278" s="8" t="s">
        <v>802</v>
      </c>
      <c r="G278" s="19" t="s">
        <v>803</v>
      </c>
      <c r="H278" s="22" t="s">
        <v>801</v>
      </c>
      <c r="I278" s="91">
        <v>437.28</v>
      </c>
      <c r="J278" s="21">
        <v>0</v>
      </c>
      <c r="K278" s="21">
        <f>J278/E279</f>
        <v>0</v>
      </c>
      <c r="L278" s="21">
        <f t="shared" si="68"/>
        <v>437.28</v>
      </c>
      <c r="M278" s="170">
        <f>_xlfn.STDEV.S(L278:L280)</f>
        <v>28.566011343581568</v>
      </c>
      <c r="N278" s="170">
        <f>(SUM(L278:L280))/((IF(L278=0,0,1))+(IF(L279=0,0,1))+(IF(L280=0,0,1)))</f>
        <v>404.74571428571426</v>
      </c>
      <c r="O278" s="173">
        <f>M278/N278</f>
        <v>7.057767466171741E-2</v>
      </c>
      <c r="P278" s="37"/>
      <c r="Q278" s="37"/>
      <c r="R278" s="38" t="str">
        <f>IF(O278&lt;0.25,"PROPOSTA VÁLIDA",((IF(L278&gt;P279,"PROPOSTA FORA DOS LIMITES",IF(L278&lt;Q279,"PROPOSTA FORA DOS LIMITES","PROPOSTA VÁLIDA")))))</f>
        <v>PROPOSTA VÁLIDA</v>
      </c>
      <c r="S278" s="38">
        <f t="shared" si="69"/>
        <v>437.28</v>
      </c>
      <c r="T278" s="164">
        <f>IF(O278&lt;0.25,AVERAGE(S278:S280),((IF(L278&gt;P279,0,IF(L278&lt;Q279,0,L278)))+(IF(L279&gt;P279,0,IF(L279&lt;Q279,0,L279)))+(IF(L280&gt;P279,0,IF(L280&lt;Q279,0,L280))))/(((IF(L278&gt;P279,0,IF(L278&lt;Q279,0,1))))+((IF(L279&gt;P279,0,IF(L279&lt;Q279,0,1))))+((IF(L280&gt;P279,0,IF(L280&lt;Q279,0,1))))))</f>
        <v>404.74571428571426</v>
      </c>
      <c r="U278" s="167">
        <f>IFERROR(T278*E279,"")</f>
        <v>2833.22</v>
      </c>
    </row>
    <row r="279" spans="1:22" ht="19.899999999999999" customHeight="1" x14ac:dyDescent="0.2">
      <c r="A279" s="177"/>
      <c r="B279" s="189"/>
      <c r="C279" s="199"/>
      <c r="D279" s="104"/>
      <c r="E279" s="59">
        <v>7</v>
      </c>
      <c r="F279" s="10" t="s">
        <v>395</v>
      </c>
      <c r="G279" s="11" t="s">
        <v>522</v>
      </c>
      <c r="H279" s="12" t="s">
        <v>394</v>
      </c>
      <c r="I279" s="92">
        <v>379.11</v>
      </c>
      <c r="J279" s="20">
        <v>32.630000000000003</v>
      </c>
      <c r="K279" s="20">
        <f>J279/E279</f>
        <v>4.6614285714285719</v>
      </c>
      <c r="L279" s="20">
        <f t="shared" si="68"/>
        <v>383.7714285714286</v>
      </c>
      <c r="M279" s="171"/>
      <c r="N279" s="171"/>
      <c r="O279" s="174"/>
      <c r="P279" s="40" t="str">
        <f>IF(O278&gt;=0.25,N278+M278,"CV&lt;25%")</f>
        <v>CV&lt;25%</v>
      </c>
      <c r="Q279" s="40" t="str">
        <f>IF(O278&gt;=0.25,N278-M278,"CV&lt;25%")</f>
        <v>CV&lt;25%</v>
      </c>
      <c r="R279" s="41" t="str">
        <f>IF(O278&lt;0.25,"PROPOSTA VÁLIDA",((IF(L279&gt;P279,"PROPOSTA FORA DOS LIMITES",IF(L279&lt;Q279,"PROPOSTA FORA DOS LIMITES","PROPOSTA VÁLIDA")))))</f>
        <v>PROPOSTA VÁLIDA</v>
      </c>
      <c r="S279" s="41">
        <f t="shared" si="69"/>
        <v>383.7714285714286</v>
      </c>
      <c r="T279" s="165"/>
      <c r="U279" s="168"/>
      <c r="V279" s="13"/>
    </row>
    <row r="280" spans="1:22" ht="19.899999999999999" customHeight="1" thickBot="1" x14ac:dyDescent="0.25">
      <c r="A280" s="178"/>
      <c r="B280" s="190"/>
      <c r="C280" s="200"/>
      <c r="D280" s="111"/>
      <c r="E280" s="60"/>
      <c r="F280" s="14" t="s">
        <v>800</v>
      </c>
      <c r="G280" s="15" t="s">
        <v>799</v>
      </c>
      <c r="H280" s="16" t="s">
        <v>798</v>
      </c>
      <c r="I280" s="93">
        <v>390</v>
      </c>
      <c r="J280" s="43">
        <v>22.3</v>
      </c>
      <c r="K280" s="43">
        <f>J280/E279</f>
        <v>3.1857142857142859</v>
      </c>
      <c r="L280" s="43">
        <f t="shared" si="68"/>
        <v>393.18571428571431</v>
      </c>
      <c r="M280" s="172"/>
      <c r="N280" s="172"/>
      <c r="O280" s="175"/>
      <c r="P280" s="44"/>
      <c r="Q280" s="44"/>
      <c r="R280" s="45" t="str">
        <f>IF(O278&lt;0.25,"PROPOSTA VÁLIDA",((IF(L280&gt;P279,"PROPOSTA FORA DOS LIMITES",IF(L280&lt;Q279,"PROPOSTA FORA DOS LIMITES","PROPOSTA VÁLIDA")))))</f>
        <v>PROPOSTA VÁLIDA</v>
      </c>
      <c r="S280" s="45">
        <f t="shared" si="69"/>
        <v>393.18571428571431</v>
      </c>
      <c r="T280" s="166"/>
      <c r="U280" s="169"/>
    </row>
    <row r="281" spans="1:22" ht="13.5" thickTop="1" x14ac:dyDescent="0.2">
      <c r="H281" s="46"/>
    </row>
    <row r="282" spans="1:22" x14ac:dyDescent="0.2">
      <c r="H282" s="46"/>
    </row>
    <row r="283" spans="1:22" x14ac:dyDescent="0.2">
      <c r="H283" s="46"/>
    </row>
    <row r="284" spans="1:22" x14ac:dyDescent="0.2">
      <c r="H284" s="62"/>
    </row>
    <row r="285" spans="1:22" x14ac:dyDescent="0.2">
      <c r="H285" s="46"/>
    </row>
    <row r="286" spans="1:22" x14ac:dyDescent="0.2">
      <c r="H286" s="46"/>
    </row>
    <row r="287" spans="1:22" x14ac:dyDescent="0.2">
      <c r="H287" s="46"/>
    </row>
    <row r="288" spans="1:22" x14ac:dyDescent="0.2">
      <c r="H288" s="46"/>
    </row>
    <row r="289" spans="8:8" x14ac:dyDescent="0.2">
      <c r="H289" s="46"/>
    </row>
    <row r="290" spans="8:8" x14ac:dyDescent="0.2">
      <c r="H290" s="46"/>
    </row>
    <row r="291" spans="8:8" x14ac:dyDescent="0.2">
      <c r="H291" s="46"/>
    </row>
    <row r="292" spans="8:8" x14ac:dyDescent="0.2">
      <c r="H292" s="46"/>
    </row>
    <row r="293" spans="8:8" x14ac:dyDescent="0.2">
      <c r="H293" s="46"/>
    </row>
    <row r="294" spans="8:8" x14ac:dyDescent="0.2">
      <c r="H294" s="46"/>
    </row>
    <row r="295" spans="8:8" x14ac:dyDescent="0.2">
      <c r="H295" s="46"/>
    </row>
    <row r="296" spans="8:8" x14ac:dyDescent="0.2">
      <c r="H296" s="46"/>
    </row>
    <row r="297" spans="8:8" x14ac:dyDescent="0.2">
      <c r="H297" s="46"/>
    </row>
    <row r="298" spans="8:8" x14ac:dyDescent="0.2">
      <c r="H298" s="46"/>
    </row>
    <row r="299" spans="8:8" x14ac:dyDescent="0.2">
      <c r="H299" s="46"/>
    </row>
    <row r="300" spans="8:8" x14ac:dyDescent="0.2">
      <c r="H300" s="46"/>
    </row>
    <row r="301" spans="8:8" x14ac:dyDescent="0.2">
      <c r="H301" s="46"/>
    </row>
    <row r="302" spans="8:8" x14ac:dyDescent="0.2">
      <c r="H302" s="46"/>
    </row>
    <row r="303" spans="8:8" x14ac:dyDescent="0.2">
      <c r="H303" s="46"/>
    </row>
    <row r="304" spans="8:8" x14ac:dyDescent="0.2">
      <c r="H304" s="46"/>
    </row>
    <row r="305" spans="8:8" x14ac:dyDescent="0.2">
      <c r="H305" s="46"/>
    </row>
    <row r="306" spans="8:8" x14ac:dyDescent="0.2">
      <c r="H306" s="46"/>
    </row>
    <row r="307" spans="8:8" x14ac:dyDescent="0.2">
      <c r="H307" s="46"/>
    </row>
    <row r="308" spans="8:8" x14ac:dyDescent="0.2">
      <c r="H308" s="46"/>
    </row>
    <row r="309" spans="8:8" x14ac:dyDescent="0.2">
      <c r="H309" s="46"/>
    </row>
    <row r="310" spans="8:8" x14ac:dyDescent="0.2">
      <c r="H310" s="46"/>
    </row>
    <row r="311" spans="8:8" x14ac:dyDescent="0.2">
      <c r="H311" s="46"/>
    </row>
    <row r="312" spans="8:8" x14ac:dyDescent="0.2">
      <c r="H312" s="46"/>
    </row>
    <row r="313" spans="8:8" x14ac:dyDescent="0.2">
      <c r="H313" s="46"/>
    </row>
    <row r="314" spans="8:8" x14ac:dyDescent="0.2">
      <c r="H314" s="46"/>
    </row>
    <row r="315" spans="8:8" x14ac:dyDescent="0.2">
      <c r="H315" s="46"/>
    </row>
    <row r="316" spans="8:8" x14ac:dyDescent="0.2">
      <c r="H316" s="46"/>
    </row>
    <row r="317" spans="8:8" x14ac:dyDescent="0.2">
      <c r="H317" s="46"/>
    </row>
    <row r="318" spans="8:8" x14ac:dyDescent="0.2">
      <c r="H318" s="46"/>
    </row>
    <row r="319" spans="8:8" x14ac:dyDescent="0.2">
      <c r="H319" s="46"/>
    </row>
    <row r="320" spans="8:8" x14ac:dyDescent="0.2">
      <c r="H320" s="46"/>
    </row>
    <row r="321" spans="8:8" x14ac:dyDescent="0.2">
      <c r="H321" s="46"/>
    </row>
    <row r="322" spans="8:8" x14ac:dyDescent="0.2">
      <c r="H322" s="46"/>
    </row>
  </sheetData>
  <sheetProtection algorithmName="SHA-512" hashValue="V/GXWrZKmuhGHgLYxqMxWVtasOp50K6zgkAjZAPww5vSUv/cAuOUSBovzSj+ZqA4s0I0veHNWkynNEWK6hMDXw==" saltValue="aASSd3kWYWqUKpa8ZiCu+A==" spinCount="100000" sheet="1" objects="1" scenarios="1"/>
  <autoFilter ref="A4:W280" xr:uid="{162CF7D8-0421-440D-8312-FCBC4A2D4B07}">
    <filterColumn colId="17" showButton="0"/>
  </autoFilter>
  <mergeCells count="719">
    <mergeCell ref="C275:C277"/>
    <mergeCell ref="C278:C280"/>
    <mergeCell ref="D251:D253"/>
    <mergeCell ref="D257:D259"/>
    <mergeCell ref="D260:D262"/>
    <mergeCell ref="D266:D268"/>
    <mergeCell ref="D269:D271"/>
    <mergeCell ref="C254:C256"/>
    <mergeCell ref="C212:C214"/>
    <mergeCell ref="C215:C217"/>
    <mergeCell ref="C218:C220"/>
    <mergeCell ref="D221:D223"/>
    <mergeCell ref="D224:D226"/>
    <mergeCell ref="C239:C241"/>
    <mergeCell ref="C221:C223"/>
    <mergeCell ref="C230:C232"/>
    <mergeCell ref="C236:C238"/>
    <mergeCell ref="C227:C229"/>
    <mergeCell ref="D188:D190"/>
    <mergeCell ref="D191:D193"/>
    <mergeCell ref="D194:D196"/>
    <mergeCell ref="D197:D199"/>
    <mergeCell ref="C200:C202"/>
    <mergeCell ref="C203:C205"/>
    <mergeCell ref="A152:A154"/>
    <mergeCell ref="B152:B154"/>
    <mergeCell ref="B197:B199"/>
    <mergeCell ref="D167:D169"/>
    <mergeCell ref="D170:D172"/>
    <mergeCell ref="D173:D175"/>
    <mergeCell ref="C152:C154"/>
    <mergeCell ref="C161:C163"/>
    <mergeCell ref="C179:C181"/>
    <mergeCell ref="C185:C187"/>
    <mergeCell ref="C194:C196"/>
    <mergeCell ref="A191:A193"/>
    <mergeCell ref="B191:B193"/>
    <mergeCell ref="C182:C184"/>
    <mergeCell ref="A197:A199"/>
    <mergeCell ref="B194:B196"/>
    <mergeCell ref="A32:A34"/>
    <mergeCell ref="B32:B34"/>
    <mergeCell ref="A164:A166"/>
    <mergeCell ref="B164:B166"/>
    <mergeCell ref="A74:A76"/>
    <mergeCell ref="A194:A196"/>
    <mergeCell ref="C197:C199"/>
    <mergeCell ref="U230:U232"/>
    <mergeCell ref="U227:U229"/>
    <mergeCell ref="A233:A235"/>
    <mergeCell ref="U233:U235"/>
    <mergeCell ref="M230:M232"/>
    <mergeCell ref="N230:N232"/>
    <mergeCell ref="O230:O232"/>
    <mergeCell ref="A224:A226"/>
    <mergeCell ref="B224:B226"/>
    <mergeCell ref="D227:D229"/>
    <mergeCell ref="D230:D232"/>
    <mergeCell ref="D233:D235"/>
    <mergeCell ref="A230:A232"/>
    <mergeCell ref="B230:B232"/>
    <mergeCell ref="A227:A229"/>
    <mergeCell ref="B227:B229"/>
    <mergeCell ref="U209:U211"/>
    <mergeCell ref="C206:C208"/>
    <mergeCell ref="C209:C211"/>
    <mergeCell ref="T212:T214"/>
    <mergeCell ref="U212:U214"/>
    <mergeCell ref="M224:M226"/>
    <mergeCell ref="N224:N226"/>
    <mergeCell ref="O224:O226"/>
    <mergeCell ref="T224:T226"/>
    <mergeCell ref="U224:U226"/>
    <mergeCell ref="T215:T217"/>
    <mergeCell ref="U215:U217"/>
    <mergeCell ref="N218:N220"/>
    <mergeCell ref="O218:O220"/>
    <mergeCell ref="T218:T220"/>
    <mergeCell ref="U218:U220"/>
    <mergeCell ref="O215:O217"/>
    <mergeCell ref="U221:U223"/>
    <mergeCell ref="M221:M223"/>
    <mergeCell ref="M215:M217"/>
    <mergeCell ref="N215:N217"/>
    <mergeCell ref="N221:N223"/>
    <mergeCell ref="U173:U175"/>
    <mergeCell ref="U185:U187"/>
    <mergeCell ref="U179:U181"/>
    <mergeCell ref="U191:U193"/>
    <mergeCell ref="T179:T181"/>
    <mergeCell ref="M206:M208"/>
    <mergeCell ref="N206:N208"/>
    <mergeCell ref="O206:O208"/>
    <mergeCell ref="T206:T208"/>
    <mergeCell ref="U206:U208"/>
    <mergeCell ref="T176:T178"/>
    <mergeCell ref="M182:M184"/>
    <mergeCell ref="N182:N184"/>
    <mergeCell ref="O182:O184"/>
    <mergeCell ref="M191:M193"/>
    <mergeCell ref="O194:O196"/>
    <mergeCell ref="T182:T184"/>
    <mergeCell ref="M197:M199"/>
    <mergeCell ref="N197:N199"/>
    <mergeCell ref="O197:O199"/>
    <mergeCell ref="T197:T199"/>
    <mergeCell ref="U197:U199"/>
    <mergeCell ref="W68:W70"/>
    <mergeCell ref="W71:W73"/>
    <mergeCell ref="W77:W79"/>
    <mergeCell ref="W80:W82"/>
    <mergeCell ref="W83:W85"/>
    <mergeCell ref="W86:W88"/>
    <mergeCell ref="W128:W130"/>
    <mergeCell ref="T86:T88"/>
    <mergeCell ref="U86:U88"/>
    <mergeCell ref="T104:T106"/>
    <mergeCell ref="U104:U106"/>
    <mergeCell ref="T89:T91"/>
    <mergeCell ref="U89:U91"/>
    <mergeCell ref="T83:T85"/>
    <mergeCell ref="U83:U85"/>
    <mergeCell ref="T113:T115"/>
    <mergeCell ref="U92:U94"/>
    <mergeCell ref="T95:T97"/>
    <mergeCell ref="U95:U97"/>
    <mergeCell ref="T92:T94"/>
    <mergeCell ref="T77:T79"/>
    <mergeCell ref="U77:U79"/>
    <mergeCell ref="T80:T82"/>
    <mergeCell ref="U80:U82"/>
    <mergeCell ref="A95:A97"/>
    <mergeCell ref="B95:B97"/>
    <mergeCell ref="M95:M97"/>
    <mergeCell ref="N95:N97"/>
    <mergeCell ref="O95:O97"/>
    <mergeCell ref="A92:A94"/>
    <mergeCell ref="B92:B94"/>
    <mergeCell ref="M92:M94"/>
    <mergeCell ref="N92:N94"/>
    <mergeCell ref="O92:O94"/>
    <mergeCell ref="U161:U163"/>
    <mergeCell ref="T149:T151"/>
    <mergeCell ref="U149:U151"/>
    <mergeCell ref="A149:A151"/>
    <mergeCell ref="B149:B151"/>
    <mergeCell ref="M149:M151"/>
    <mergeCell ref="N149:N151"/>
    <mergeCell ref="O149:O151"/>
    <mergeCell ref="A146:A148"/>
    <mergeCell ref="C146:C148"/>
    <mergeCell ref="C149:C151"/>
    <mergeCell ref="T158:T160"/>
    <mergeCell ref="U158:U160"/>
    <mergeCell ref="A155:A157"/>
    <mergeCell ref="B155:B157"/>
    <mergeCell ref="M155:M157"/>
    <mergeCell ref="N155:N157"/>
    <mergeCell ref="O155:O157"/>
    <mergeCell ref="C155:C157"/>
    <mergeCell ref="C158:C160"/>
    <mergeCell ref="M152:M154"/>
    <mergeCell ref="A56:A58"/>
    <mergeCell ref="B56:B58"/>
    <mergeCell ref="M56:M58"/>
    <mergeCell ref="N56:N58"/>
    <mergeCell ref="A89:A91"/>
    <mergeCell ref="B89:B91"/>
    <mergeCell ref="T194:T196"/>
    <mergeCell ref="U146:U148"/>
    <mergeCell ref="A68:A70"/>
    <mergeCell ref="B68:B70"/>
    <mergeCell ref="M68:M70"/>
    <mergeCell ref="N68:N70"/>
    <mergeCell ref="O68:O70"/>
    <mergeCell ref="T68:T70"/>
    <mergeCell ref="M89:M91"/>
    <mergeCell ref="U71:U73"/>
    <mergeCell ref="U188:U190"/>
    <mergeCell ref="A161:A163"/>
    <mergeCell ref="B161:B163"/>
    <mergeCell ref="M161:M163"/>
    <mergeCell ref="N161:N163"/>
    <mergeCell ref="O161:O163"/>
    <mergeCell ref="T161:T163"/>
    <mergeCell ref="U74:U76"/>
    <mergeCell ref="M278:M280"/>
    <mergeCell ref="N278:N280"/>
    <mergeCell ref="O278:O280"/>
    <mergeCell ref="T278:T280"/>
    <mergeCell ref="U278:U280"/>
    <mergeCell ref="A269:A271"/>
    <mergeCell ref="B269:B271"/>
    <mergeCell ref="M269:M271"/>
    <mergeCell ref="N269:N271"/>
    <mergeCell ref="O269:O271"/>
    <mergeCell ref="T269:T271"/>
    <mergeCell ref="U269:U271"/>
    <mergeCell ref="A272:A274"/>
    <mergeCell ref="A275:A277"/>
    <mergeCell ref="B275:B277"/>
    <mergeCell ref="M275:M277"/>
    <mergeCell ref="N275:N277"/>
    <mergeCell ref="O275:O277"/>
    <mergeCell ref="T275:T277"/>
    <mergeCell ref="U275:U277"/>
    <mergeCell ref="A278:A280"/>
    <mergeCell ref="B278:B280"/>
    <mergeCell ref="B272:B274"/>
    <mergeCell ref="M272:M274"/>
    <mergeCell ref="U257:U259"/>
    <mergeCell ref="B179:B181"/>
    <mergeCell ref="M179:M181"/>
    <mergeCell ref="N179:N181"/>
    <mergeCell ref="O179:O181"/>
    <mergeCell ref="C188:C190"/>
    <mergeCell ref="C191:C193"/>
    <mergeCell ref="T221:T223"/>
    <mergeCell ref="B218:B220"/>
    <mergeCell ref="M218:M220"/>
    <mergeCell ref="M194:M196"/>
    <mergeCell ref="N194:N196"/>
    <mergeCell ref="U194:U196"/>
    <mergeCell ref="U182:U184"/>
    <mergeCell ref="M212:M214"/>
    <mergeCell ref="N212:N214"/>
    <mergeCell ref="O212:O214"/>
    <mergeCell ref="T227:T229"/>
    <mergeCell ref="O191:O193"/>
    <mergeCell ref="T191:T193"/>
    <mergeCell ref="T188:T190"/>
    <mergeCell ref="N191:N193"/>
    <mergeCell ref="N188:N190"/>
    <mergeCell ref="O188:O190"/>
    <mergeCell ref="U263:U265"/>
    <mergeCell ref="A266:A268"/>
    <mergeCell ref="B266:B268"/>
    <mergeCell ref="M266:M268"/>
    <mergeCell ref="N266:N268"/>
    <mergeCell ref="O266:O268"/>
    <mergeCell ref="T266:T268"/>
    <mergeCell ref="U266:U268"/>
    <mergeCell ref="N272:N274"/>
    <mergeCell ref="O272:O274"/>
    <mergeCell ref="T272:T274"/>
    <mergeCell ref="U272:U274"/>
    <mergeCell ref="D272:D274"/>
    <mergeCell ref="A218:A220"/>
    <mergeCell ref="N164:N166"/>
    <mergeCell ref="O164:O166"/>
    <mergeCell ref="A263:A265"/>
    <mergeCell ref="B263:B265"/>
    <mergeCell ref="M263:M265"/>
    <mergeCell ref="N263:N265"/>
    <mergeCell ref="O263:O265"/>
    <mergeCell ref="T263:T265"/>
    <mergeCell ref="T257:T259"/>
    <mergeCell ref="A188:A190"/>
    <mergeCell ref="B188:B190"/>
    <mergeCell ref="M188:M190"/>
    <mergeCell ref="T209:T211"/>
    <mergeCell ref="M233:M235"/>
    <mergeCell ref="A215:A217"/>
    <mergeCell ref="B215:B217"/>
    <mergeCell ref="T230:T232"/>
    <mergeCell ref="A221:A223"/>
    <mergeCell ref="B221:B223"/>
    <mergeCell ref="A212:A214"/>
    <mergeCell ref="B212:B214"/>
    <mergeCell ref="A206:A208"/>
    <mergeCell ref="B206:B208"/>
    <mergeCell ref="U260:U262"/>
    <mergeCell ref="T146:T148"/>
    <mergeCell ref="T152:T154"/>
    <mergeCell ref="U152:U154"/>
    <mergeCell ref="T155:T157"/>
    <mergeCell ref="U155:U157"/>
    <mergeCell ref="T164:T166"/>
    <mergeCell ref="U164:U166"/>
    <mergeCell ref="A176:A178"/>
    <mergeCell ref="B176:B178"/>
    <mergeCell ref="M176:M178"/>
    <mergeCell ref="N176:N178"/>
    <mergeCell ref="O176:O178"/>
    <mergeCell ref="A158:A160"/>
    <mergeCell ref="B158:B160"/>
    <mergeCell ref="M158:M160"/>
    <mergeCell ref="N158:N160"/>
    <mergeCell ref="O158:O160"/>
    <mergeCell ref="A257:A259"/>
    <mergeCell ref="B257:B259"/>
    <mergeCell ref="M257:M259"/>
    <mergeCell ref="N257:N259"/>
    <mergeCell ref="O257:O259"/>
    <mergeCell ref="M164:M166"/>
    <mergeCell ref="D59:D61"/>
    <mergeCell ref="M80:M82"/>
    <mergeCell ref="N80:N82"/>
    <mergeCell ref="O80:O82"/>
    <mergeCell ref="M74:M76"/>
    <mergeCell ref="N74:N76"/>
    <mergeCell ref="O74:O76"/>
    <mergeCell ref="T71:T73"/>
    <mergeCell ref="A260:A262"/>
    <mergeCell ref="B260:B262"/>
    <mergeCell ref="M260:M262"/>
    <mergeCell ref="N260:N262"/>
    <mergeCell ref="O260:O262"/>
    <mergeCell ref="T260:T262"/>
    <mergeCell ref="A182:A184"/>
    <mergeCell ref="B182:B184"/>
    <mergeCell ref="B170:B172"/>
    <mergeCell ref="M170:M172"/>
    <mergeCell ref="N170:N172"/>
    <mergeCell ref="O170:O172"/>
    <mergeCell ref="B146:B148"/>
    <mergeCell ref="M146:M148"/>
    <mergeCell ref="N146:N148"/>
    <mergeCell ref="O146:O148"/>
    <mergeCell ref="M62:M64"/>
    <mergeCell ref="N62:N64"/>
    <mergeCell ref="N89:N91"/>
    <mergeCell ref="A65:A67"/>
    <mergeCell ref="B65:B67"/>
    <mergeCell ref="M83:M85"/>
    <mergeCell ref="N83:N85"/>
    <mergeCell ref="O83:O85"/>
    <mergeCell ref="A80:A82"/>
    <mergeCell ref="B80:B82"/>
    <mergeCell ref="B74:B76"/>
    <mergeCell ref="N77:N79"/>
    <mergeCell ref="O89:O91"/>
    <mergeCell ref="A86:A88"/>
    <mergeCell ref="B86:B88"/>
    <mergeCell ref="A83:A85"/>
    <mergeCell ref="B83:B85"/>
    <mergeCell ref="A77:A79"/>
    <mergeCell ref="A2:U2"/>
    <mergeCell ref="R4:S4"/>
    <mergeCell ref="N8:N10"/>
    <mergeCell ref="O8:O10"/>
    <mergeCell ref="T8:T10"/>
    <mergeCell ref="U8:U10"/>
    <mergeCell ref="A5:A7"/>
    <mergeCell ref="B5:B7"/>
    <mergeCell ref="M5:M7"/>
    <mergeCell ref="N5:N7"/>
    <mergeCell ref="O5:O7"/>
    <mergeCell ref="T5:T7"/>
    <mergeCell ref="U5:U7"/>
    <mergeCell ref="M8:M10"/>
    <mergeCell ref="B8:B10"/>
    <mergeCell ref="A8:A10"/>
    <mergeCell ref="B77:B79"/>
    <mergeCell ref="M77:M79"/>
    <mergeCell ref="O77:O79"/>
    <mergeCell ref="A62:A64"/>
    <mergeCell ref="B62:B64"/>
    <mergeCell ref="M65:M67"/>
    <mergeCell ref="N65:N67"/>
    <mergeCell ref="O65:O67"/>
    <mergeCell ref="T65:T67"/>
    <mergeCell ref="U65:U67"/>
    <mergeCell ref="A71:A73"/>
    <mergeCell ref="B71:B73"/>
    <mergeCell ref="M71:M73"/>
    <mergeCell ref="N71:N73"/>
    <mergeCell ref="O71:O73"/>
    <mergeCell ref="N41:N43"/>
    <mergeCell ref="D14:D16"/>
    <mergeCell ref="M23:M25"/>
    <mergeCell ref="N23:N25"/>
    <mergeCell ref="A20:A22"/>
    <mergeCell ref="B20:B22"/>
    <mergeCell ref="A11:A13"/>
    <mergeCell ref="B11:B13"/>
    <mergeCell ref="M11:M13"/>
    <mergeCell ref="M32:M34"/>
    <mergeCell ref="N32:N34"/>
    <mergeCell ref="A38:A40"/>
    <mergeCell ref="A35:A37"/>
    <mergeCell ref="B38:B40"/>
    <mergeCell ref="M38:M40"/>
    <mergeCell ref="N38:N40"/>
    <mergeCell ref="B35:B37"/>
    <mergeCell ref="D35:D37"/>
    <mergeCell ref="A17:A19"/>
    <mergeCell ref="B17:B19"/>
    <mergeCell ref="N11:N13"/>
    <mergeCell ref="O11:O13"/>
    <mergeCell ref="T11:T13"/>
    <mergeCell ref="U11:U13"/>
    <mergeCell ref="T29:T31"/>
    <mergeCell ref="U29:U31"/>
    <mergeCell ref="D23:D25"/>
    <mergeCell ref="A26:A28"/>
    <mergeCell ref="B26:B28"/>
    <mergeCell ref="M26:M28"/>
    <mergeCell ref="N26:N28"/>
    <mergeCell ref="O26:O28"/>
    <mergeCell ref="A23:A25"/>
    <mergeCell ref="B23:B25"/>
    <mergeCell ref="O23:O25"/>
    <mergeCell ref="D11:D13"/>
    <mergeCell ref="U14:U16"/>
    <mergeCell ref="U26:U28"/>
    <mergeCell ref="M35:M37"/>
    <mergeCell ref="N35:N37"/>
    <mergeCell ref="O35:O37"/>
    <mergeCell ref="O62:O64"/>
    <mergeCell ref="T62:T64"/>
    <mergeCell ref="U62:U64"/>
    <mergeCell ref="O47:O49"/>
    <mergeCell ref="T47:T49"/>
    <mergeCell ref="U47:U49"/>
    <mergeCell ref="O44:O46"/>
    <mergeCell ref="M20:M22"/>
    <mergeCell ref="N20:N22"/>
    <mergeCell ref="O20:O22"/>
    <mergeCell ref="M17:M19"/>
    <mergeCell ref="N17:N19"/>
    <mergeCell ref="O17:O19"/>
    <mergeCell ref="T17:T19"/>
    <mergeCell ref="U17:U19"/>
    <mergeCell ref="T20:T22"/>
    <mergeCell ref="U20:U22"/>
    <mergeCell ref="M29:M31"/>
    <mergeCell ref="N29:N31"/>
    <mergeCell ref="A14:A16"/>
    <mergeCell ref="B14:B16"/>
    <mergeCell ref="M14:M16"/>
    <mergeCell ref="N14:N16"/>
    <mergeCell ref="O14:O16"/>
    <mergeCell ref="M53:M55"/>
    <mergeCell ref="D56:D58"/>
    <mergeCell ref="T26:T28"/>
    <mergeCell ref="T74:T76"/>
    <mergeCell ref="T14:T16"/>
    <mergeCell ref="A29:A31"/>
    <mergeCell ref="B29:B31"/>
    <mergeCell ref="O29:O31"/>
    <mergeCell ref="A47:A49"/>
    <mergeCell ref="B47:B49"/>
    <mergeCell ref="M47:M49"/>
    <mergeCell ref="N47:N49"/>
    <mergeCell ref="A44:A46"/>
    <mergeCell ref="B44:B46"/>
    <mergeCell ref="M44:M46"/>
    <mergeCell ref="N44:N46"/>
    <mergeCell ref="A41:A43"/>
    <mergeCell ref="B41:B43"/>
    <mergeCell ref="M41:M43"/>
    <mergeCell ref="T44:T46"/>
    <mergeCell ref="U44:U46"/>
    <mergeCell ref="O41:O43"/>
    <mergeCell ref="T41:T43"/>
    <mergeCell ref="U41:U43"/>
    <mergeCell ref="U68:U70"/>
    <mergeCell ref="T56:T58"/>
    <mergeCell ref="U56:U58"/>
    <mergeCell ref="T23:T25"/>
    <mergeCell ref="U23:U25"/>
    <mergeCell ref="T53:T55"/>
    <mergeCell ref="U53:U55"/>
    <mergeCell ref="T50:T52"/>
    <mergeCell ref="U50:U52"/>
    <mergeCell ref="U59:U61"/>
    <mergeCell ref="O32:O34"/>
    <mergeCell ref="T32:T34"/>
    <mergeCell ref="U32:U34"/>
    <mergeCell ref="T35:T37"/>
    <mergeCell ref="U35:U37"/>
    <mergeCell ref="T38:T40"/>
    <mergeCell ref="U38:U40"/>
    <mergeCell ref="O38:O40"/>
    <mergeCell ref="A104:A106"/>
    <mergeCell ref="B104:B106"/>
    <mergeCell ref="M104:M106"/>
    <mergeCell ref="N104:N106"/>
    <mergeCell ref="O104:O106"/>
    <mergeCell ref="T98:T100"/>
    <mergeCell ref="U98:U100"/>
    <mergeCell ref="A101:A103"/>
    <mergeCell ref="B101:B103"/>
    <mergeCell ref="M101:M103"/>
    <mergeCell ref="N101:N103"/>
    <mergeCell ref="O101:O103"/>
    <mergeCell ref="T101:T103"/>
    <mergeCell ref="U101:U103"/>
    <mergeCell ref="A98:A100"/>
    <mergeCell ref="B98:B100"/>
    <mergeCell ref="D101:D103"/>
    <mergeCell ref="C98:C100"/>
    <mergeCell ref="U113:U115"/>
    <mergeCell ref="A110:A112"/>
    <mergeCell ref="B110:B112"/>
    <mergeCell ref="M110:M112"/>
    <mergeCell ref="N110:N112"/>
    <mergeCell ref="O110:O112"/>
    <mergeCell ref="A107:A109"/>
    <mergeCell ref="B107:B109"/>
    <mergeCell ref="M107:M109"/>
    <mergeCell ref="N107:N109"/>
    <mergeCell ref="O107:O109"/>
    <mergeCell ref="T107:T109"/>
    <mergeCell ref="U107:U109"/>
    <mergeCell ref="T110:T112"/>
    <mergeCell ref="U110:U112"/>
    <mergeCell ref="D110:D112"/>
    <mergeCell ref="A113:A115"/>
    <mergeCell ref="B113:B115"/>
    <mergeCell ref="T119:T121"/>
    <mergeCell ref="U119:U121"/>
    <mergeCell ref="A119:A121"/>
    <mergeCell ref="B119:B121"/>
    <mergeCell ref="M119:M121"/>
    <mergeCell ref="N119:N121"/>
    <mergeCell ref="O119:O121"/>
    <mergeCell ref="T116:T118"/>
    <mergeCell ref="U116:U118"/>
    <mergeCell ref="A116:A118"/>
    <mergeCell ref="B116:B118"/>
    <mergeCell ref="M116:M118"/>
    <mergeCell ref="N116:N118"/>
    <mergeCell ref="O116:O118"/>
    <mergeCell ref="D116:D118"/>
    <mergeCell ref="D119:D121"/>
    <mergeCell ref="T128:T130"/>
    <mergeCell ref="U128:U130"/>
    <mergeCell ref="A128:A130"/>
    <mergeCell ref="B128:B130"/>
    <mergeCell ref="M128:M130"/>
    <mergeCell ref="N128:N130"/>
    <mergeCell ref="O128:O130"/>
    <mergeCell ref="T122:T124"/>
    <mergeCell ref="U122:U124"/>
    <mergeCell ref="A125:A127"/>
    <mergeCell ref="B125:B127"/>
    <mergeCell ref="M125:M127"/>
    <mergeCell ref="N125:N127"/>
    <mergeCell ref="O125:O127"/>
    <mergeCell ref="T125:T127"/>
    <mergeCell ref="U125:U127"/>
    <mergeCell ref="A122:A124"/>
    <mergeCell ref="B122:B124"/>
    <mergeCell ref="M122:M124"/>
    <mergeCell ref="N122:N124"/>
    <mergeCell ref="O122:O124"/>
    <mergeCell ref="D122:D124"/>
    <mergeCell ref="D125:D127"/>
    <mergeCell ref="M143:M145"/>
    <mergeCell ref="T131:T133"/>
    <mergeCell ref="U131:U133"/>
    <mergeCell ref="A134:A136"/>
    <mergeCell ref="B134:B136"/>
    <mergeCell ref="M134:M136"/>
    <mergeCell ref="N134:N136"/>
    <mergeCell ref="O134:O136"/>
    <mergeCell ref="T134:T136"/>
    <mergeCell ref="U134:U136"/>
    <mergeCell ref="A131:A133"/>
    <mergeCell ref="B131:B133"/>
    <mergeCell ref="M131:M133"/>
    <mergeCell ref="N131:N133"/>
    <mergeCell ref="O131:O133"/>
    <mergeCell ref="D131:D133"/>
    <mergeCell ref="A143:A145"/>
    <mergeCell ref="B143:B145"/>
    <mergeCell ref="A50:A52"/>
    <mergeCell ref="B50:B52"/>
    <mergeCell ref="M50:M52"/>
    <mergeCell ref="N50:N52"/>
    <mergeCell ref="O50:O52"/>
    <mergeCell ref="N143:N145"/>
    <mergeCell ref="O143:O145"/>
    <mergeCell ref="M113:M115"/>
    <mergeCell ref="N113:N115"/>
    <mergeCell ref="O113:O115"/>
    <mergeCell ref="M98:M100"/>
    <mergeCell ref="N98:N100"/>
    <mergeCell ref="O98:O100"/>
    <mergeCell ref="M86:M88"/>
    <mergeCell ref="N86:N88"/>
    <mergeCell ref="O86:O88"/>
    <mergeCell ref="B53:B55"/>
    <mergeCell ref="O53:O55"/>
    <mergeCell ref="O56:O58"/>
    <mergeCell ref="A140:A142"/>
    <mergeCell ref="B140:B142"/>
    <mergeCell ref="M140:M142"/>
    <mergeCell ref="N140:N142"/>
    <mergeCell ref="A137:A139"/>
    <mergeCell ref="A59:A61"/>
    <mergeCell ref="B59:B61"/>
    <mergeCell ref="B167:B169"/>
    <mergeCell ref="M167:M169"/>
    <mergeCell ref="N167:N169"/>
    <mergeCell ref="O167:O169"/>
    <mergeCell ref="A179:A181"/>
    <mergeCell ref="U167:U169"/>
    <mergeCell ref="A167:A169"/>
    <mergeCell ref="N152:N154"/>
    <mergeCell ref="O152:O154"/>
    <mergeCell ref="T143:T145"/>
    <mergeCell ref="U143:U145"/>
    <mergeCell ref="T137:T139"/>
    <mergeCell ref="U137:U139"/>
    <mergeCell ref="O140:O142"/>
    <mergeCell ref="T140:T142"/>
    <mergeCell ref="U140:U142"/>
    <mergeCell ref="B137:B139"/>
    <mergeCell ref="M137:M139"/>
    <mergeCell ref="N137:N139"/>
    <mergeCell ref="O137:O139"/>
    <mergeCell ref="D137:D139"/>
    <mergeCell ref="D143:D145"/>
    <mergeCell ref="A254:A256"/>
    <mergeCell ref="B254:B256"/>
    <mergeCell ref="M254:M256"/>
    <mergeCell ref="N254:N256"/>
    <mergeCell ref="O254:O256"/>
    <mergeCell ref="T254:T256"/>
    <mergeCell ref="U254:U256"/>
    <mergeCell ref="A251:A253"/>
    <mergeCell ref="B251:B253"/>
    <mergeCell ref="M251:M253"/>
    <mergeCell ref="N251:N253"/>
    <mergeCell ref="O251:O253"/>
    <mergeCell ref="T251:T253"/>
    <mergeCell ref="U251:U253"/>
    <mergeCell ref="N239:N241"/>
    <mergeCell ref="O239:O241"/>
    <mergeCell ref="T248:T250"/>
    <mergeCell ref="U242:U244"/>
    <mergeCell ref="A245:A247"/>
    <mergeCell ref="B245:B247"/>
    <mergeCell ref="A242:A244"/>
    <mergeCell ref="B242:B244"/>
    <mergeCell ref="M242:M244"/>
    <mergeCell ref="C248:C250"/>
    <mergeCell ref="C242:C244"/>
    <mergeCell ref="C245:C247"/>
    <mergeCell ref="A248:A250"/>
    <mergeCell ref="B248:B250"/>
    <mergeCell ref="M248:M250"/>
    <mergeCell ref="N248:N250"/>
    <mergeCell ref="O248:O250"/>
    <mergeCell ref="F1:H1"/>
    <mergeCell ref="A185:A187"/>
    <mergeCell ref="B185:B187"/>
    <mergeCell ref="M185:M187"/>
    <mergeCell ref="N185:N187"/>
    <mergeCell ref="O185:O187"/>
    <mergeCell ref="T185:T187"/>
    <mergeCell ref="T167:T169"/>
    <mergeCell ref="N233:N235"/>
    <mergeCell ref="O233:O235"/>
    <mergeCell ref="T233:T235"/>
    <mergeCell ref="M59:M61"/>
    <mergeCell ref="N59:N61"/>
    <mergeCell ref="O59:O61"/>
    <mergeCell ref="T59:T61"/>
    <mergeCell ref="A53:A55"/>
    <mergeCell ref="N53:N55"/>
    <mergeCell ref="T173:T175"/>
    <mergeCell ref="A173:A175"/>
    <mergeCell ref="B173:B175"/>
    <mergeCell ref="M173:M175"/>
    <mergeCell ref="N173:N175"/>
    <mergeCell ref="O173:O175"/>
    <mergeCell ref="A170:A172"/>
    <mergeCell ref="A209:A211"/>
    <mergeCell ref="B209:B211"/>
    <mergeCell ref="M209:M211"/>
    <mergeCell ref="N209:N211"/>
    <mergeCell ref="O209:O211"/>
    <mergeCell ref="U248:U250"/>
    <mergeCell ref="T170:T172"/>
    <mergeCell ref="U170:U172"/>
    <mergeCell ref="M245:M247"/>
    <mergeCell ref="N245:N247"/>
    <mergeCell ref="O245:O247"/>
    <mergeCell ref="T245:T247"/>
    <mergeCell ref="U245:U247"/>
    <mergeCell ref="M236:M238"/>
    <mergeCell ref="N236:N238"/>
    <mergeCell ref="U176:U178"/>
    <mergeCell ref="U236:U238"/>
    <mergeCell ref="B233:B235"/>
    <mergeCell ref="O236:O238"/>
    <mergeCell ref="A236:A238"/>
    <mergeCell ref="B236:B238"/>
    <mergeCell ref="A239:A241"/>
    <mergeCell ref="B239:B241"/>
    <mergeCell ref="M239:M241"/>
    <mergeCell ref="T239:T241"/>
    <mergeCell ref="U239:U241"/>
    <mergeCell ref="N242:N244"/>
    <mergeCell ref="O242:O244"/>
    <mergeCell ref="T242:T244"/>
    <mergeCell ref="T236:T238"/>
    <mergeCell ref="A200:A202"/>
    <mergeCell ref="B200:B202"/>
    <mergeCell ref="M200:M202"/>
    <mergeCell ref="N200:N202"/>
    <mergeCell ref="O200:O202"/>
    <mergeCell ref="T200:T202"/>
    <mergeCell ref="U200:U202"/>
    <mergeCell ref="A203:A205"/>
    <mergeCell ref="B203:B205"/>
    <mergeCell ref="M203:M205"/>
    <mergeCell ref="N203:N205"/>
    <mergeCell ref="O203:O205"/>
    <mergeCell ref="T203:T205"/>
    <mergeCell ref="U203:U205"/>
    <mergeCell ref="M227:M229"/>
    <mergeCell ref="N227:N229"/>
    <mergeCell ref="O227:O229"/>
    <mergeCell ref="O221:O223"/>
  </mergeCells>
  <phoneticPr fontId="11" type="noConversion"/>
  <conditionalFormatting sqref="O5:O280">
    <cfRule type="cellIs" dxfId="3" priority="2" operator="greaterThan">
      <formula>0.25</formula>
    </cfRule>
  </conditionalFormatting>
  <conditionalFormatting sqref="R5:S280">
    <cfRule type="cellIs" dxfId="2" priority="1" operator="equal">
      <formula>"PROPOSTA FORA DOS LIMITES"</formula>
    </cfRule>
  </conditionalFormatting>
  <hyperlinks>
    <hyperlink ref="H66" r:id="rId1" xr:uid="{5C0BB9FE-6A30-4528-BA5C-9CEC8F4D503C}"/>
    <hyperlink ref="H10" r:id="rId2" xr:uid="{11D9E3CE-6994-4358-810B-0CC0117284CD}"/>
    <hyperlink ref="H37" r:id="rId3" xr:uid="{0E644FBA-67F5-471E-AD0F-00E34059C7C9}"/>
    <hyperlink ref="H40" r:id="rId4" display="https://www.eletrotrafo.com.br/terminal-pre-isol-pino-ilhos-tubular-cz--075mm--ti-075-8-intelli-penzel-70013193/p?idsku=6859&amp;gclid=EAIaIQobChMI1q7Y8a3e-gIVQ-ZcCh0pfAUXEAQYCCABEgKnC_D_BwE" xr:uid="{356E6064-A5B1-441C-AE3D-E4033982A175}"/>
    <hyperlink ref="H36" r:id="rId5" xr:uid="{E7DA58A9-9CB0-4721-9916-C03C4412CCF9}"/>
    <hyperlink ref="H12" r:id="rId6" xr:uid="{A518B03C-9F6B-420B-9016-20FE1038B6B0}"/>
    <hyperlink ref="H102" r:id="rId7" xr:uid="{049F4CCA-F7B3-41C2-BD90-1B0F0B58E11A}"/>
    <hyperlink ref="H103" r:id="rId8" xr:uid="{8392F5F4-D920-49E3-9889-C589954B7FB8}"/>
    <hyperlink ref="H99" r:id="rId9" xr:uid="{A03D8F98-31BB-4740-9AB0-441A6254227F}"/>
    <hyperlink ref="H100" r:id="rId10" xr:uid="{2223C324-937B-44A2-985C-BA7C9D77CF30}"/>
    <hyperlink ref="H222" r:id="rId11" xr:uid="{654CDDA7-5E51-4168-A487-EE345ADAA9C8}"/>
    <hyperlink ref="H139" r:id="rId12" xr:uid="{8139B380-00A6-4D2E-9D1E-1175313287F0}"/>
    <hyperlink ref="H35" r:id="rId13" xr:uid="{4A910019-CF70-470E-990D-D75188169B2C}"/>
    <hyperlink ref="H38" r:id="rId14" xr:uid="{801413DF-58CB-4AF6-80CC-4302CDB5F02B}"/>
    <hyperlink ref="H39" r:id="rId15" xr:uid="{5A983762-FB43-4A3A-B948-EB7A269965E8}"/>
    <hyperlink ref="H133" r:id="rId16" xr:uid="{A440EF80-EC90-4457-AB60-D9B8FBFB5220}"/>
    <hyperlink ref="H15" r:id="rId17" xr:uid="{56A084BC-118F-45C5-944A-3D32E4AC8314}"/>
    <hyperlink ref="H17" r:id="rId18" xr:uid="{3C47014B-30D9-4286-94FC-199BDAB5B19D}"/>
    <hyperlink ref="H18" r:id="rId19" xr:uid="{DA465244-98DE-465C-B584-C8319E42AF67}"/>
    <hyperlink ref="H20" r:id="rId20" xr:uid="{80F81E71-C3C0-4189-AF3A-4E66A1022B37}"/>
    <hyperlink ref="H24" r:id="rId21" display="https://www.anhangueraferramentas.com.br/produto/bucha-1-56134-004-tramontina-eletrik-107059?utm_source=google&amp;utm_medium=cpc&amp;utm_campaign=https://www.anhangueraferramentas.com.br/produto/bucha-1-56134-004-tramontina-eletrik-107059?utm_source=google&amp;utm_medium=cpc&amp;utm_campaign=merchant&amp;gclid=EAIaIQobChMIl93-l_Lg-gIVW0FIAB3doQlfEAQYAyABEgJel_D_BwE" xr:uid="{C59A0267-05E4-4CB6-A546-316DDCEFDA0B}"/>
    <hyperlink ref="H104" r:id="rId22" xr:uid="{EA537327-EEB9-4ECB-981F-E345C99CDBB4}"/>
    <hyperlink ref="H106" r:id="rId23" xr:uid="{6B2E614D-B57D-44D0-8C4B-AFE41A890B9A}"/>
    <hyperlink ref="H110" r:id="rId24" xr:uid="{D8598084-2219-4DA1-A1ED-D0AA2D8B14ED}"/>
    <hyperlink ref="H111" r:id="rId25" display="https://produto.mercadolivre.com.br/MLB-3310291629-cabo-fibra-optica-12fo-internoexterno-furukawa-50-metros-_JM?matt_tool=10738792&amp;matt_word=&amp;matt_source=google&amp;matt_campaign_id=14504862881&amp;matt_ad_group_id=131120366102&amp;matt_match_type=&amp;matt_network=g&amp;matt_device=c&amp;matt_creative=584156655579&amp;matt_keyword=&amp;matt_ad_position=&amp;matt_ad_type=pla&amp;matt_merchant_id=227406763&amp;matt_product_id=MLB3310291629&amp;matt_product_partition_id=1799135963642&amp;matt_target_id=pla-1799135963642&amp;gclid=CjwKCAjwgqejBhBAEiwAuWHioLgo9Ph8rz7AAjdjACB8aydYFeZd-5eMt1Nw1GmGuWuP2EEaAY7E1RoChYUQAvD_BwE" xr:uid="{1E7F84A0-BF1F-433A-8A04-820ACF7D4942}"/>
    <hyperlink ref="H116" r:id="rId26" xr:uid="{3E7ECEF9-3443-4C6B-92BF-43BA9DFEB6AA}"/>
    <hyperlink ref="H120" r:id="rId27" xr:uid="{79C434AC-372C-4EC8-973D-E8E5B44D28DC}"/>
    <hyperlink ref="H119" r:id="rId28" xr:uid="{B4AF96C1-EACD-4294-ADB1-062DBFEA280F}"/>
    <hyperlink ref="H122" r:id="rId29" xr:uid="{8CE3183E-C9C3-448C-9D61-68917D6E9E22}"/>
    <hyperlink ref="H123" r:id="rId30" xr:uid="{313020A2-05D3-4850-9AC4-A157318F7E9B}"/>
    <hyperlink ref="H124" r:id="rId31" xr:uid="{1A8DB1F4-0FE3-467C-9C8F-6C35D1B40A37}"/>
    <hyperlink ref="H126" r:id="rId32" xr:uid="{5EF9664C-D2FF-4268-BC67-4CEDCA4ABBBE}"/>
    <hyperlink ref="H127" r:id="rId33" xr:uid="{B9F02EEA-07E3-42EF-AFBD-112C269B3787}"/>
    <hyperlink ref="H130" r:id="rId34" xr:uid="{70A43E4C-37D6-48FA-A831-8B1069CCEC70}"/>
    <hyperlink ref="H140" r:id="rId35" display="https://www.magazineluiza.com.br/voice-panel-50-portas-telefonia-rj45-11-c-guia-e-aterramento-paralelo/p/dba5db656h/rc/rcnm/?&amp;seller_id=hr2tech1&amp;utm_source=google&amp;utm_medium=pla&amp;utm_campaign=&amp;partner_id=69104&amp;gclid=Cj0KCQjw08aYBhDlARIsAA_gb0fR2m6XGoqFbxzv4X_h9sTVaG4FEcBdo_btQJaq1nOgBHVQy2LRpi0aAh_QEALw_wcB&amp;gclsrc=aw.ds" xr:uid="{940887BC-0B9D-44D8-B90E-0842F35C7C80}"/>
    <hyperlink ref="H145" r:id="rId36" xr:uid="{0F9073D2-90CC-4934-81EC-3CCA0C9986DD}"/>
    <hyperlink ref="H152" r:id="rId37" xr:uid="{C8860AE6-5F19-41BA-8A64-167826063015}"/>
    <hyperlink ref="H153" r:id="rId38" xr:uid="{39392FA6-6ED0-4727-8282-81A21E25768A}"/>
    <hyperlink ref="H158" r:id="rId39" xr:uid="{06B8F3F9-3DF0-48CE-9725-51F89583B44D}"/>
    <hyperlink ref="H159" r:id="rId40" xr:uid="{7ED8A027-4D86-4E2A-BBEC-4BEAC87CEE4D}"/>
    <hyperlink ref="H160" r:id="rId41" xr:uid="{041EC546-7F16-4AA4-BD3D-AE9DB20DD7CA}"/>
    <hyperlink ref="H11" r:id="rId42" xr:uid="{DC4F4CD4-FC9A-4F41-8E71-AB892CC6F6B3}"/>
    <hyperlink ref="H13" r:id="rId43" xr:uid="{3749A5ED-1FFE-4372-B6AC-A56219C4A254}"/>
    <hyperlink ref="H223" r:id="rId44" xr:uid="{DF3EFBA2-C87E-4364-BF8C-E3C3ADC3629D}"/>
    <hyperlink ref="H221" r:id="rId45" display="https://www.dimensional.com.br/quadro-comando-sobrepor-aco-carbono-bege-ral-7032-200-mm-200-mm-120-mm/p?idsku=250737&amp;gad_source=4&amp;gclid=Cj0KCQiA2KitBhCIARIsAPPMEhIN-AnZ9SswFzTrwiKo2IsBEvi584GwbhkaWVaC9HXywmBeH7_WUOYaAsweEALw_wcB" xr:uid="{F22D4BC7-0F90-4885-AD29-955B29915AAA}"/>
    <hyperlink ref="H62" r:id="rId46" xr:uid="{6E431243-B834-4237-815F-E785D1B44B2E}"/>
    <hyperlink ref="H63" r:id="rId47" display="https://www.anhangueraferramentas.com.br/produto/microscanner-2-verificador-de-falhas-ms2-100-fluke-122665?utm_source=google&amp;utm_medium=cpc&amp;utm_campaign=https://www.anhangueraferramentas.com.br/produto/microscanner-2-verificador-de-falhas-ms2-100-fluke-122665?utm_source=google&amp;utm_medium=cpc&amp;utm_campaign=merchant&amp;gclid=EAIaIQobChMI7oafqPj__gIVEDWRCh38BgtSEAQYAiABEgI0MPD_BwE" xr:uid="{492FD024-520C-417C-8005-12F3A943E308}"/>
    <hyperlink ref="H64" r:id="rId48" display="https://www.dimensional.com.br/instrumento-portatil-10a50grc-cat-5e-6-6a-microscanner-ms2poe-fluke/p?idsku=1099650&amp;gad_source=4&amp;gclid=Cj0KCQiA2KitBhCIARIsAPPMEhK_m_62Y5mFyxzgconNbABheYnUZ0z094o82Lg69Akg6JCjn-tIJXUaAkFuEALw_wcB" xr:uid="{574DD778-04F2-4BE8-95D9-E6D44F38BE84}"/>
    <hyperlink ref="H67" r:id="rId49" xr:uid="{7FDADF3F-A946-43B0-8AB4-B7FA40DF8854}"/>
    <hyperlink ref="H65" r:id="rId50" display="https://www.leroymerlin.com.br/papel-de-parede-vinilizado-linho-cinza-10x0,52m-bobinex_92135904?store_code=7&amp;gad_source=1&amp;gad_campaignid=18197119631&amp;gbraid=0AAAAADkzLZ4eiWGGsOZu3R2dcbdBY8GEQ&amp;gclid=CjwKCAjw87XBBhBIEiwAxP3_A-Eohj9EaUO8lsntW1ZbXxpDgLvYSmpBowswEXjwhjM16bNinsUmDBoCItUQAvD_BwE" xr:uid="{A0B8795D-20B8-4C87-84A1-7A50C94C788B}"/>
    <hyperlink ref="H14" r:id="rId51" display="https://www.leroymerlin.com.br/condulete-multiplo-1-tipo-l-com-tampa_1568281195?region=outros" xr:uid="{624CC7AA-CF6D-416D-B1A9-92B98CCF4083}"/>
    <hyperlink ref="H16" r:id="rId52" display="https://www.tramontina.com.br/condulete-multiplo-1%22-tramontina-tipo-l-com-tampa/56200013.html?srsltid=AfmBOooY6wKoedyAOhuHeNwN5yMDzUvu6xI2cYXEMzKvHYXIICCPqZPwhH4" xr:uid="{63C89E8D-BBFF-4D32-BA57-12FA5A67EAD2}"/>
    <hyperlink ref="H19" r:id="rId53" display="https://www.obramax.com.br/conector-reto-unidut-conico-1--com-rosca-externa-bsp-89666801/p?idsku=35781&amp;gad_source=4&amp;gclid=Cj0KCQiAnrOtBhDIARIsAFsSe52IJzybr27ck5aVCZxzJlu1PQT4ioQjTC39zeiUKmHubPr_8HJl93gaAhtCEALw_wcB" xr:uid="{4D0B7FF7-9640-4F28-A511-E386628129B8}"/>
    <hyperlink ref="H21" r:id="rId54" xr:uid="{7ACC0F81-9F26-4127-93A8-68025CCECBC6}"/>
    <hyperlink ref="H22" r:id="rId55" display="https://www.santil.com.br/produto/unidut-conico-aluminio-2-polegadas-tramontina/1965290?gad_source=4&amp;gclid=Cj0KCQiAnrOtBhDIARIsAFsSe52FvOQxhQ3TzMvR0fxYNbXsKcEI0mVL2mHaBRmxdfMqXRzHnaGhbqAaAsVwEALw_wcB" xr:uid="{CC651A45-8F28-4A31-BB94-96185B3F55DB}"/>
    <hyperlink ref="H23" r:id="rId56" xr:uid="{908A2301-934B-4496-AADF-5EA0FAC91DE3}"/>
    <hyperlink ref="H25" r:id="rId57" xr:uid="{D863CB57-FF20-41D4-AE26-CB5760BC3BB5}"/>
    <hyperlink ref="H26" r:id="rId58" xr:uid="{7A23BC78-B7C2-4125-AF2C-D52F514BDAE0}"/>
    <hyperlink ref="H27" r:id="rId59" display="https://newelectricmj.com.br/produto/bucha-2/?srsltid=AfmBOopnSZFp6wW5S4_aulkNERa2UPbACynqXnFq8rbfbNBrJlqYyxKnNp0" xr:uid="{BD45F765-9ED5-46C8-98EB-8FA295622C85}"/>
    <hyperlink ref="H28" r:id="rId60" display="https://www.teky.com.br/646a5a63d496504d21df146f/bucha-aluminio-2%22-com-rosca-bsp-p-eletroduto-wetzel-s.a?srsltid=AfmBOopMJhHSaeTemwqQOL696Tuwrw_tYK8hs-1_2CFJAXKd7BrdxMMNxTA" xr:uid="{5A9E0B8A-21BD-4720-896D-6A416FD4F979}"/>
    <hyperlink ref="H98" r:id="rId61" xr:uid="{7A655795-D2C2-4B40-A278-9C55D8008B0A}"/>
    <hyperlink ref="H101" r:id="rId62" xr:uid="{2EE402A6-9300-4281-B9B4-F742258AF865}"/>
    <hyperlink ref="H105" r:id="rId63" xr:uid="{3823FD77-27DB-4BAC-BB10-4FB846C2356D}"/>
    <hyperlink ref="H107" r:id="rId64" xr:uid="{87852BFA-5F6E-497A-810B-5054100ABBD1}"/>
    <hyperlink ref="H108" r:id="rId65" xr:uid="{70BA070E-42A8-4FD6-ABED-15689BDB103B}"/>
    <hyperlink ref="H109" r:id="rId66" xr:uid="{8659B806-1331-4467-8D9E-49F97358C5C6}"/>
    <hyperlink ref="H113" r:id="rId67" display="https://www.fibrastore.com.br/cart?appSectionParams=%7B%22origin%22%3A%22cart-popup%22%7D" xr:uid="{E5AB0CAF-787A-4A39-A5A5-F51BF53C6093}"/>
    <hyperlink ref="H114" r:id="rId68" display="https://www.aztech.com.br/patch-cord-fibra-optica-lc-upc-single-mode-duplex-30mm-5m?utm_source=Site&amp;utm_medium=GoogleMerchant&amp;utm_campaign=GoogleMerchant&amp;gad_source=4&amp;gclid=Cj0KCQiAwbitBhDIARIsABfFYIKvjf8qnTDJrm1XD6CR8-6gv6hF1IybafUdJUpgEX647xCU2UreEsoaAucZEALw_wcB" xr:uid="{F7899E41-310D-46CA-8F6D-2796885E5564}"/>
    <hyperlink ref="H115" r:id="rId69" xr:uid="{4E5CD8BA-62A4-43DF-AF7F-72B0CFAEABEB}"/>
    <hyperlink ref="H112" r:id="rId70" display="https://www.solucaocabos.com.br/cabo-optico-multimodo-eo-cog-2fo/p?idsku=13397&amp;srsltid=AfmBOoqRDhI_2CYCtggCtOzzee0tgYYI6TTMUpXP3fPxMX7IXWyFrvpZbuo" xr:uid="{99A3CDCC-5F0E-4D9F-8150-B582D1FB0003}"/>
    <hyperlink ref="H117" r:id="rId71" display="https://netcomputadores.com.br/gs/cds9lcxlc50m-cordao-duplex-monomodo-lc-lc/15403?srsltid=AfmBOoon2vGn5AiVetNSPFHst_zTEIxXMifdSc135Z7OG9-GONUXGortDJg" xr:uid="{902613BF-491B-4441-B6EE-613BBF5B8130}"/>
    <hyperlink ref="H121" r:id="rId72" display="https://www.ferramentaskennedy.com.br/100087096/conector-box-1-reto-pvc-cinza-inpol?gad_source=4&amp;gclid=CjwKCAiA5L2tBhBTEiwAdSxJX2YrzJ28o7nMkWqceW3xnw0vvWjR-4zIv1ZQSuklOKw2GB8LezS8GhoCKOIQAvD_BwE" xr:uid="{58C47C52-784C-40F9-BD7F-E03E76D82590}"/>
    <hyperlink ref="H125" r:id="rId73" display="https://www.dimensional.com.br/conector-rj-45-macho-categoria-5e-incolor-pacote-com-500-pecas-sohoplus-35050290-furukawa/p?idsku=520818&amp;gad_source=4&amp;gclid=CjwKCAiA5L2tBhBTEiwAdSxJX54PBZ8uI9GribkBHz4OCGfDRroakfsebJJFLm5rlUIHWQBKkaWHBBoC-vMQAvD_BwE" xr:uid="{B72F7865-87D8-4E54-89C9-CB01544ADBEA}"/>
    <hyperlink ref="H129" r:id="rId74" xr:uid="{1F49B4AE-A149-4FB0-A256-86D2FE564EC5}"/>
    <hyperlink ref="H131" r:id="rId75" xr:uid="{987C85EC-6E51-4CC5-AED7-1B59F5FAD341}"/>
    <hyperlink ref="H132" r:id="rId76" xr:uid="{FC590263-D55A-49A0-BDF1-03DEC793354A}"/>
    <hyperlink ref="H135" r:id="rId77" xr:uid="{4E9B2977-D884-473F-9C63-5880422756FB}"/>
    <hyperlink ref="H137" r:id="rId78" xr:uid="{D1A12933-E694-4FE7-ACC1-3B585DCC00E7}"/>
    <hyperlink ref="H138" r:id="rId79" xr:uid="{ADBB6218-5981-42C9-91FF-FAC9C9C508A2}"/>
    <hyperlink ref="H142" r:id="rId80" display="https://netcomputadores.com.br/gs/yppsvuvt10-50-maxi-telecom-voice-panel/34776?srsltid=AfmBOoqDyAOGpCkwQ58GQddnP5z9F289xyd_IJpnkoRdHZq845lV21NIkTU" xr:uid="{E91D8596-F606-4D88-9323-010078BE793A}"/>
    <hyperlink ref="H144" r:id="rId81" display="https://www.americanas.com.br/produto/5061027784/bandeja-raker-fixa-frontal-2-pontos-1u-x-250mm?pfm_carac=bandeja-fixa-frontal&amp;pfm_index=1&amp;pfm_page=search&amp;pfm_pos=grid&amp;pfm_type=search_page&amp;offerId=6279929f87c00289c23b2bd3&amp;cor=Preta&amp;cross%20docking=1&amp;condition=NEW" xr:uid="{1D55EB4F-FD2B-4ADE-86AD-E359EDFB3D50}"/>
    <hyperlink ref="H143" r:id="rId82" display="https://www.lojamatel.com.br/produto/bandeja-fixa-1u-19-250mm-preto-fixacao-frontal.html?srsltid=AfmBOoqf_juue3JyRUYlc95bQMViuk8Msu0tzfud4pPoJCttmflnNH3HIt0" xr:uid="{B83A7873-23E3-4189-B32B-668DFFC04E27}"/>
    <hyperlink ref="H151" r:id="rId83" xr:uid="{F4C44A6B-688F-411D-84D5-826784E31922}"/>
    <hyperlink ref="H149" r:id="rId84" display="https://www.upperseg.com.br/cftv/dvr-gravadores-stand-alone/nvr-gravador-ip/nvr-gravador-digital-de-video-nvd-1432-intelbras-32-canais-ip-4k/?gad_source=4&amp;gclid=CjwKCAiA5L2tBhBTEiwAdSxJXxvOyCCqnzt6h4BAkEvZUwB6aQv8mZl9dMyiFHI59UkQtqsyk5CSEBoCpUQQAvD_BwE" xr:uid="{8FA59315-7AEF-4790-86F4-2FA6318B00A5}"/>
    <hyperlink ref="H150" r:id="rId85" display="https://www.dimensional.com.br/gravador-digital-de-video-nvd3308p-intelbras/p?idsku=1341448&amp;gad_source=4&amp;gclid=CjwKCAiA5L2tBhBTEiwAdSxJX44GROm6bHiEDMgpfAC2BvyJUHr_VkQoJWN0UB4WyFftLowlD_mkLBoC4JYQAvD_BwE" xr:uid="{24F277C6-CF70-42BE-88AB-F8C3954CB35F}"/>
    <hyperlink ref="H154" r:id="rId86" display="https://www.tudoforte.com.br/id-em-branco-20590?parceiro=6347&amp;utm_source=google&amp;utm_medium=cpc&amp;utm_term=&amp;campaignid=16698014837&amp;adgroupid=&amp;targetid=&amp;adid=&amp;rnd=13940681827045090774&amp;gad_source=4&amp;gclid=CjwKCAiA5L2tBhBTEiwAdSxJX0JVDyGL6oeqpCLOZ_PoU6_poBAxvOxBAiwbgcv13YTzxLxrnuMBQxoCnusQAvD_BwE" xr:uid="{A3AE8CB3-C8E5-4E0A-9347-D5DDE9C0BDC2}"/>
    <hyperlink ref="H155" r:id="rId87" xr:uid="{C34CD68A-D258-46CE-8571-8F5C36E500C3}"/>
    <hyperlink ref="H156" r:id="rId88" xr:uid="{B4E0DCE1-9841-471E-A9BE-AEE772A878C7}"/>
    <hyperlink ref="H157" r:id="rId89" xr:uid="{8C8CBDDF-24C6-4266-89E5-40F8FC996AFE}"/>
    <hyperlink ref="H168" r:id="rId90" xr:uid="{D3BE0D7B-76C3-4916-A4F6-7FA713B46539}"/>
    <hyperlink ref="H169" r:id="rId91" xr:uid="{1A1857BF-8098-4B50-B469-AC9B7383EC85}"/>
    <hyperlink ref="H170" r:id="rId92" xr:uid="{B701CE29-52F8-4BB0-BCF8-CC0CBC5362AC}"/>
    <hyperlink ref="H167" r:id="rId93" display="https://www.frigelar.com.br/caixa-passagem-polar-split-29lx16ax6p-sem-tampa-frontal-reversivel-alvenaria-convencional/p/kit3571?srsltid=AfmBOoqzJXw78ONaas7dAzaAIEP5cuUdJz3pi5bertFhxXUKqOGXNbWK3EA" xr:uid="{14BC351B-40C8-4141-9B7A-252995F07DF0}"/>
    <hyperlink ref="H171" r:id="rId94" display="https://loja.multivac.com.br/cfm-500-220v-caixa-de-ventilacao" xr:uid="{B3B59BDF-3AB2-41F1-B5E9-3F1E3D3D9A50}"/>
    <hyperlink ref="H173" r:id="rId95" xr:uid="{132C1A48-04E6-4415-A069-7C3644B72C67}"/>
    <hyperlink ref="H174" r:id="rId96" xr:uid="{946054A3-391A-4063-9F0D-4FB3F3F6D47C}"/>
    <hyperlink ref="H175" r:id="rId97" xr:uid="{1A1EDDF6-ECA1-40B1-9FF1-3FF3A96C1006}"/>
    <hyperlink ref="H224" r:id="rId98" xr:uid="{C906BC07-5286-4FF1-A639-0CC479EF26F2}"/>
    <hyperlink ref="H50" r:id="rId99" xr:uid="{FAE6FF05-C280-434C-AF2D-3F36A4DADBDD}"/>
    <hyperlink ref="H51" r:id="rId100" xr:uid="{CF982B0E-A409-410E-B66E-69EB3050F413}"/>
    <hyperlink ref="H52" r:id="rId101" xr:uid="{256F41D1-9BD2-4EA1-A525-23813587123F}"/>
    <hyperlink ref="H227" r:id="rId102" xr:uid="{9027EB8C-6A58-4660-A06B-C6D38EC11D93}"/>
    <hyperlink ref="H228" r:id="rId103" xr:uid="{D85F5130-20E1-437C-A7AB-23BA4D75E009}"/>
    <hyperlink ref="H229" r:id="rId104" xr:uid="{605584C4-6EEF-4BFD-B202-1166FD69F842}"/>
    <hyperlink ref="H230" r:id="rId105" display="https://www.tudoforte.com.br/sensor-magnetico-de-abertura-c/fio-xas-porta-de-aco-mini-intelbras?parceiro=6347&amp;utm_source=google&amp;utm_medium=cpc&amp;utm_term=&amp;campaignid=16788958963&amp;adgroupid=&amp;targetid=&amp;adid=&amp;rnd=12804164606731324186&amp;gad_source=1&amp;gclid=Cj0KCQjwxeyxBhC7ARIsAC7dS39MJcvgbojEke7zJ7yZzBWlP2y9nVm-_lMJDUDq7xyrpQqY-Q-6bwwaAsTiEALw_wcB" xr:uid="{3730E032-82E3-4ECC-AD34-BCC26B587EAD}"/>
    <hyperlink ref="H231" r:id="rId106" display="https://www.cftvclube.com.br/alarmes/sensores-sem-fio/sensor-de-abertura-magnetico/sensor-magnetico-cfio-xas-porta-aco-mini?parceiro=2410&amp;parceiro=7283&amp;gad_source=1&amp;gclid=Cj0KCQjwxeyxBhC7ARIsAC7dS3_mBfXRHBGKrx2hvrjkSotbKGKlWNPP2810PC1_XtcmPfmYMVhNHqEaAtriEALw_wcB" xr:uid="{205B3C67-3B9A-47D8-8882-EA28E3108BD9}"/>
    <hyperlink ref="H233" r:id="rId107" xr:uid="{84DEC6CC-C60C-4E95-802C-60AF0A1F65D9}"/>
    <hyperlink ref="H234" r:id="rId108" xr:uid="{B4D024F9-7A97-48FC-B57C-322BFEAA1445}"/>
    <hyperlink ref="H235" r:id="rId109" xr:uid="{E9DF454E-202A-4DD0-BD3A-353945214C45}"/>
    <hyperlink ref="H236" r:id="rId110" xr:uid="{82A04B84-C691-4DCF-909B-C71F015C8920}"/>
    <hyperlink ref="H237" r:id="rId111" xr:uid="{502D02E9-7A68-4D81-B766-B52896B101EE}"/>
    <hyperlink ref="H238" r:id="rId112" xr:uid="{281AB9A0-CA84-42D4-B104-F20874E8DC74}"/>
    <hyperlink ref="H242" r:id="rId113" xr:uid="{1A6C3741-A6F3-4BB3-A255-CE3D3154A6EC}"/>
    <hyperlink ref="H243" r:id="rId114" xr:uid="{C3CD4DE5-37AE-437D-84A9-26D2F6952FE4}"/>
    <hyperlink ref="H244" r:id="rId115" xr:uid="{5B3B3403-77CD-4AEF-9466-613B32D142B9}"/>
    <hyperlink ref="H256" r:id="rId116" xr:uid="{652D8AA6-A52D-42CA-9D51-B230C08E4616}"/>
    <hyperlink ref="H59" r:id="rId117" xr:uid="{C0072798-7A2C-4462-B96A-94FC753C9868}"/>
    <hyperlink ref="H60" r:id="rId118" xr:uid="{A3D2486B-C8DD-4DB8-B32B-CD92DB8653EB}"/>
    <hyperlink ref="H61" r:id="rId119" xr:uid="{0640D01B-A5B7-45F1-95A1-A3C29F070D31}"/>
    <hyperlink ref="H55" r:id="rId120" xr:uid="{79AB19CC-49D8-40B2-9A89-159F777B8845}"/>
    <hyperlink ref="H54" r:id="rId121" xr:uid="{AE226EC6-F7D5-43D1-8F7D-2C64FEADD552}"/>
    <hyperlink ref="H53" r:id="rId122" xr:uid="{02DC85FC-E4D1-4D8A-984B-1622BDFA2DA0}"/>
    <hyperlink ref="H247" r:id="rId123" xr:uid="{98B140B2-D37F-43A1-A939-EB3DBA2AC50F}"/>
    <hyperlink ref="H246" r:id="rId124" xr:uid="{2F775410-705E-4AEB-A074-2FC4309B5137}"/>
    <hyperlink ref="H251" r:id="rId125" xr:uid="{9A33B549-F76B-4D7A-AB95-6C017E620DA8}"/>
    <hyperlink ref="H252" r:id="rId126" xr:uid="{CCC2B568-BC8E-4345-BE2F-3B3AD0E01957}"/>
    <hyperlink ref="H253" r:id="rId127" xr:uid="{B91DA277-DA31-45CD-BB25-495E076A1107}"/>
    <hyperlink ref="H161" r:id="rId128" xr:uid="{DB1AE334-1B43-4506-9F28-806B13E1E6A3}"/>
    <hyperlink ref="H162" r:id="rId129" display="https://www.upperseg.com.br/interfonia/controle-de-acesso/botoes-e-botoeiras/botoeira-acionador-de-abertura-inox-embutir-4x2-bt-5000-in-intelbras/?gad_source=1&amp;gclid=CjwKCAjw9IayBhBJEiwAVuc3frmP8rqZ1oRXuZp6qbCmT-28vRLQ3udVVLydGu2HID0QJ9Gh0QZBVBoCU7sQAvD_BwE" xr:uid="{6182D5E7-FCE7-43CA-A80D-3B102C14B12E}"/>
    <hyperlink ref="H194" r:id="rId130" xr:uid="{05B869D2-B5EB-4A77-A01F-1485E1D7096B}"/>
    <hyperlink ref="H195" r:id="rId131" xr:uid="{31E12A7E-2DEA-439C-98AC-28EE2ABAD0A0}"/>
    <hyperlink ref="H146" r:id="rId132" xr:uid="{FF3C2694-31CA-4FB9-B465-53428E449255}"/>
    <hyperlink ref="H147" r:id="rId133" xr:uid="{60B950FC-207D-409F-ADEB-A8F7F20CDF34}"/>
    <hyperlink ref="H148" r:id="rId134" display="https://www.cftvclube.com.br/cameras/camera-intelbras-vhd-3220-mini-dome-c-microfone-2-0mp-1080p-2-8mm-metal?parceiro=2410&amp;variant_id=315&amp;parceiro=7283&amp;gad_source=1&amp;gclid=CjwKCAjw9IayBhBJEiwAVuc3fhFrPXzoZEv34PwnfimAZJOMMmzPet-4fQE_2gs1j5e2gDnz6waCIxoCLuQQAvD_BwE" xr:uid="{22284830-B7C3-4035-9AD1-8ACF39005D24}"/>
    <hyperlink ref="H257" r:id="rId135" xr:uid="{B9F39388-F213-4FED-AFC2-BEAB8E1CD3DE}"/>
    <hyperlink ref="H258" r:id="rId136" display="https://www.carrefour.com.br/chumbador-quimico-em-ampola-cura-rapida-para-concreto-12mm-mp932305772/p?utm_medium=sem&amp;utm_source=google_pmax_3p&amp;utm_campaign=3p_performancemax_Eletro_Seller_C&amp;gad_source=1&amp;gclid=CjwKCAjw9IayBhBJEiwAVuc3fiCZQZFIeTTFlWe7pOW_onYGCgoo3fBbK_YHs2cTwXNC8Jonxt7ysBoCa1kQAvD_BwE" xr:uid="{EAA7CEAA-C939-4EF9-B415-8E9B22751A7E}"/>
    <hyperlink ref="H259" r:id="rId137" xr:uid="{6E3A4646-FB58-4145-9EC5-5373532EEE91}"/>
    <hyperlink ref="H262" r:id="rId138" xr:uid="{3972BD05-ADF5-47EC-ADEA-D166C71130C7}"/>
    <hyperlink ref="H261" r:id="rId139" xr:uid="{2E4DCDC3-251C-497F-A167-13311DB9F7C1}"/>
    <hyperlink ref="H260" r:id="rId140" xr:uid="{749ED650-19F1-49D5-B056-C00D5740D9B3}"/>
    <hyperlink ref="H266" r:id="rId141" xr:uid="{B218105A-B0CB-4769-8CD0-1E199EBC59F0}"/>
    <hyperlink ref="H267" r:id="rId142" xr:uid="{57521944-288C-4946-9A56-698F494F42DA}"/>
    <hyperlink ref="H268" r:id="rId143" location="wrapper" xr:uid="{4ACEBB81-899A-4DDF-9962-1C77DC235D15}"/>
    <hyperlink ref="H270" r:id="rId144" xr:uid="{9A6719F4-32A1-45FB-B437-3A7F90681288}"/>
    <hyperlink ref="H269" r:id="rId145" xr:uid="{6581770E-3DB0-45C7-8E52-4E956E1C7BF1}"/>
    <hyperlink ref="H271" r:id="rId146" xr:uid="{D370C334-F7FC-4CB6-9468-CFCAA223D9AF}"/>
    <hyperlink ref="H272" r:id="rId147" xr:uid="{9ED767F8-A07C-41C1-A16A-594B9755CCE1}"/>
    <hyperlink ref="H273" r:id="rId148" xr:uid="{D88FD17F-B9B1-456E-9C12-BF11C8454475}"/>
    <hyperlink ref="H274" r:id="rId149" xr:uid="{0817AD74-63BF-41F9-93B5-3ECA1E1488EC}"/>
    <hyperlink ref="H275" r:id="rId150" display="https://www.elastobor.com.br/indicador-de-tensao-dully-tf-001-para-linha-de-vida/p?idsku=102044004&amp;srsltid=AfmBOoobOZLz_KiIC8kPrB1XKUYcu2XBycjZfHN9Z0HOeO75hUNnwz5ocRg" xr:uid="{38CC9DBD-209F-4294-BEED-49F8E655E5B3}"/>
    <hyperlink ref="H279" r:id="rId151" xr:uid="{50E9116C-8344-48C3-A840-495DC63C1B66}"/>
    <hyperlink ref="H56" r:id="rId152" xr:uid="{CD68B09F-220F-4BAD-9A7C-3755BFBA222E}"/>
    <hyperlink ref="H57" r:id="rId153" xr:uid="{212A3960-A10D-4B6A-B4B6-57A6B4BBFF08}"/>
    <hyperlink ref="H58" r:id="rId154" xr:uid="{0298233E-70EC-4364-B5BA-6BD25A4881AE}"/>
    <hyperlink ref="H176" r:id="rId155" display="https://www.inspirehome.com.br/perfil-de-embutir-led-archi-recuado-linear-1-metro-alto-irc-93-2700k-23w-24v-aluminio-branco-stella-sth20991br-27/p?utm_source=google&amp;utm_medium=cpc&amp;utm_campaign=Pmax_Portofino&amp;gad_source=1&amp;gclid=CjwKCAjwl4yyBhAgEiwADSEjeEHLTLTkmGrtQ_BcqrMJml3FfzBG86uR-Kw7YhRjldIpi3UXd585sRoCT6IQAvD_BwE" xr:uid="{F57DD2EA-733E-4195-9410-00EA65992A12}"/>
    <hyperlink ref="H178" r:id="rId156" location="derivacao=8" display="https://www.cialight.com.br/perfil-de-embutir-led-archi-recuado-1-metro-irc-93-2700k-23w-m-24v-branco-stella-sth20991br-27?utm_source=google&amp;utm_medium=Shopping&amp;utm_campaign=perfil-de-embutir-led-archi-recuado-1-metro-irc-93-2700k-23w-m-24v-branco-stella-sth20991br-27&amp;inStock&amp;gad_source=1&amp;gclid=CjwKCAjwl4yyBhAgEiwADSEjeKD-qE4UVLgwD3zfX0wfIQkPgh521Fmvq34VvPQJs0KeZKNkocybxRoCVgMQAvD_BwE#derivacao=8" xr:uid="{6E68CDC7-7E05-4EF6-A9EF-596EB840F1EC}"/>
    <hyperlink ref="H179" r:id="rId157" display="https://www.upperseg.com.br/cftv/acessorios/caixas-de-instalacao-e-conectores/caixa-de-passagem-metalica-ip66-para-cameras-vbox-5000-e-intelbras/?gad_source=1&amp;gclid=CjwKCAjwl4yyBhAgEiwADSEjeCLldWHXv96nJZ6yOudN8zhLYLnPct0ekeOT5ZgO8ajtD98_bITSEhoCFWQQAvD_BwE" xr:uid="{E4F61B33-F9C9-45B7-A787-FD35122694A2}"/>
    <hyperlink ref="H180" r:id="rId158" display="https://www.dimensional.com.br/1033503-caixa-de-passagem-aluminio-redondo-para-cameras-dome-e-bullet-uso-interno-externo-vbox5000e-intelbras/p?idsku=1033503&amp;gad_source=1&amp;gclid=CjwKCAjwl4yyBhAgEiwADSEjeBcpmSeBiMQZY1cssBYWOvtqm1qXPibvVwfZUpseJDZySd25uBqZ9BoCV1AQAvD_BwE" xr:uid="{C3064855-3757-4347-93CA-EDEB109161E3}"/>
    <hyperlink ref="H181" r:id="rId159" xr:uid="{BB037F5E-C0EF-4A1A-86BA-4704BDFEBEBA}"/>
    <hyperlink ref="H182" r:id="rId160" xr:uid="{953DCEE0-5CC9-4A87-A882-2616F6B69778}"/>
    <hyperlink ref="H184" r:id="rId161" xr:uid="{05BE6951-88B3-4B50-8F04-C0F214D79F46}"/>
    <hyperlink ref="H166" r:id="rId162" xr:uid="{A216B750-ACB6-4593-B53F-7CD9C07FACEE}"/>
    <hyperlink ref="H165" r:id="rId163" xr:uid="{5E7194E0-5B55-4F7B-8629-377EB143673F}"/>
    <hyperlink ref="H164" r:id="rId164" xr:uid="{79197B77-32AD-431B-ADD3-0E75FCE21C77}"/>
    <hyperlink ref="H29" r:id="rId165" xr:uid="{511A0F31-8167-431A-B463-FB7ED13C3340}"/>
    <hyperlink ref="H32" r:id="rId166" xr:uid="{A6E24AA1-3B78-452C-B74A-64094360E0D6}"/>
    <hyperlink ref="H33" r:id="rId167" xr:uid="{7FD85899-01AA-4C51-826B-24F134DF95FD}"/>
    <hyperlink ref="H34" r:id="rId168" xr:uid="{155B972C-F3E3-4F9A-9AD6-208402EAC99A}"/>
    <hyperlink ref="H42" r:id="rId169" xr:uid="{D265E799-2AB3-4EDD-9842-AFAA56A51E10}"/>
    <hyperlink ref="H41" r:id="rId170" xr:uid="{8ECDF75B-E8B2-4530-A4C4-490D5707B171}"/>
    <hyperlink ref="H43" r:id="rId171" xr:uid="{8E3CB90B-D7A3-40DB-A4EC-03356111FCD0}"/>
    <hyperlink ref="H44" r:id="rId172" xr:uid="{E087A743-E1A6-4DC6-BBB2-E12AA0B6B103}"/>
    <hyperlink ref="H45" r:id="rId173" xr:uid="{E47DBCBB-98F8-4050-A3AF-2962DFB7CBF3}"/>
    <hyperlink ref="H46" r:id="rId174" xr:uid="{34D3C61E-B89E-4AE3-8FFD-768557B8A22B}"/>
    <hyperlink ref="H47" r:id="rId175" xr:uid="{DEA2B453-D8A1-4A4A-8758-ADE6B428C2FB}"/>
    <hyperlink ref="H48" r:id="rId176" xr:uid="{7C0985E9-6C81-4E36-997F-E59560FBEBEE}"/>
    <hyperlink ref="H49" r:id="rId177" xr:uid="{BADA182C-9493-49A8-8EF7-62D936C124E7}"/>
    <hyperlink ref="H188" r:id="rId178" xr:uid="{529B12B4-20AB-4EF2-8763-F28E97F20810}"/>
    <hyperlink ref="H248" r:id="rId179" xr:uid="{0A4FEE2F-2A2E-4660-AAC3-B484AA0A4025}"/>
    <hyperlink ref="H249" r:id="rId180" xr:uid="{57FE2747-EC78-49D3-B590-B98154860EDC}"/>
    <hyperlink ref="H250" r:id="rId181" xr:uid="{A348AC40-9AF6-4135-AFE6-5C33C69A8E47}"/>
    <hyperlink ref="H70" r:id="rId182" display="mituo@luminacril.com.br - proposta 9471" xr:uid="{577ADE1C-7570-4BD5-AD31-93E61E02B46F}"/>
    <hyperlink ref="H239" r:id="rId183" display="engenharia.apl02@engetron.com.br" xr:uid="{5D8C1B14-4CD3-455B-8D83-46C6F306BF9D}"/>
    <hyperlink ref="H191" r:id="rId184" xr:uid="{35D3CF33-7AF2-4E75-A78A-B70C38DE8C7A}"/>
    <hyperlink ref="H172" r:id="rId185" xr:uid="{4DE40C8F-80C2-4746-95B4-9D16A37F1CB4}"/>
    <hyperlink ref="H186" r:id="rId186" display="https://gtepis.mercadoshops.com.br/MLB-2846274861-calco-borracha-p-anti-vibraco-100x100x25mm-vibra-stop-6-und-_JM?gad_source=4&amp;gbraid=0AAAAApoprKIRKkgaXk9sig2vxN1Cln6iY&amp;gclid=CjwKCAjw8IfABhBXEiwAxRHlsPS1OQl5K-dlwi82y0WAeLm6tyVBXlkG9JkiYBMoLH54J4ME62W6mhoCQeIQAvD_BwE" xr:uid="{DFEB1C4B-A59E-46E9-8F0E-322AE7A231CC}"/>
    <hyperlink ref="H187" r:id="rId187" xr:uid="{7C7ADC2F-7DE9-48CB-BD7A-879123751AC9}"/>
    <hyperlink ref="H189" r:id="rId188" xr:uid="{3598C6E1-A5E3-484E-8262-EB643CE86684}"/>
    <hyperlink ref="H218" r:id="rId189" xr:uid="{1534C1C6-7CDD-466B-ACCA-2140077B65A0}"/>
    <hyperlink ref="H219" r:id="rId190" xr:uid="{D48D213E-1297-47D6-86B9-C816AF8D96D4}"/>
    <hyperlink ref="H241" r:id="rId191" xr:uid="{9F0D6F3E-4E30-43F5-B25C-D97E5DAAFAF7}"/>
    <hyperlink ref="H197" r:id="rId192" xr:uid="{0047917F-49A1-4C1A-ADA0-B990DCF50CFE}"/>
    <hyperlink ref="H198" r:id="rId193" display="https://www.kalunga.com.br/prod/quadro-de-aviso-office-a4-frontal-10090013-maxcril-pt-1-un/632881?cq_src=google_ads&amp;cq_cmp=17062280850&amp;cq_con=&amp;cq_term=&amp;cq_med=pla&amp;cq_plac=&amp;cq_net=x&amp;cq_pos=&amp;cq_plt=gp&amp;pcID=3901&amp;gad_source=4&amp;gclid=CjwKCAiAh6y9BhBREiwApBLHCyjZn4614urKWR5e4-KUciJvrG8CTwq_h4Kig1c1gx_jybCwpxJHAhoCho0QAvD_BwE" xr:uid="{44A30BFB-8997-42D6-B86A-7A442BF0E8FD}"/>
    <hyperlink ref="H199" r:id="rId194" xr:uid="{E9D86F86-4883-4F70-9AFA-B3EA8532D383}"/>
    <hyperlink ref="H9" r:id="rId195" xr:uid="{88E76E22-954C-49EA-8899-04EB9564FF87}"/>
    <hyperlink ref="H8" r:id="rId196" display="https://maqpart.com.br/conector-para-condulete-multipla-1-1-2-tramontina-18985" xr:uid="{A96C2508-788D-485A-B267-BBB163E1B44B}"/>
    <hyperlink ref="H31" r:id="rId197" xr:uid="{5066BCDB-7A4A-4EF3-BEF9-2CCA8758AFA1}"/>
    <hyperlink ref="H240" r:id="rId198" display="igor.canedo@cmcomandos.com" xr:uid="{FC793009-5B23-442F-8B9F-E38852A834E4}"/>
    <hyperlink ref="D233" r:id="rId199" display="https://app.orcafascio.com/banco/insumos" xr:uid="{F0186964-4900-4D89-A7A4-B7AB0FECE6FC}"/>
    <hyperlink ref="H6" r:id="rId200" display="https://www.upperseg.com.br/informatica/racks/guia-organizador-de-cabos-horizontal-19-1u-preto/" xr:uid="{455A55F0-0C10-4058-A70A-C6BC908CF547}"/>
    <hyperlink ref="H7" r:id="rId201" display="https://www.eletrorastro.com.br/produto/unidut-multiplo-adaptador-de-1-1-2-para-1-1-4-tramontina-90747?utm_source=google&amp;utm_medium=cpc&amp;utm_campaign=&amp;gclid=EAIaIQobChMIybjWj6KA_wIVRcKRCh1UXgJuEAQYAyABEgIu2_D_BwE" xr:uid="{9F8457C0-08CE-4659-85A2-DF7C395D1C55}"/>
    <hyperlink ref="H128" r:id="rId202" xr:uid="{EE28D1D7-1CC9-4D19-B4F2-6D038DD3A083}"/>
    <hyperlink ref="H190" r:id="rId203" xr:uid="{418E2D03-D9CB-4382-8632-DA5C307E9813}"/>
    <hyperlink ref="H192" r:id="rId204" xr:uid="{82D019D1-4D86-4105-9FF4-F34004055A65}"/>
    <hyperlink ref="H193" r:id="rId205" xr:uid="{0426AD62-8D15-41FB-A595-E32DB6DC0CAE}"/>
    <hyperlink ref="H245" r:id="rId206" display="https://loja.ccabos.com.br/produtos/cabo-comando-e-controle-2x100mm-blindado-em-malha-de-cobre-nu-preto/?variant=984682670&amp;pf=mc&amp;gad_source=1&amp;gad_campaignid=22401485984&amp;gbraid=0AAAAA-fAh9LXp1OMjJJHbt6uEyr2T2QqH&amp;gclid=Cj0KCQjwlrvBBhDnARIsAHEQgOQKN1v89iXtOjYJiGCsc3pgVvVrNl2cMCTpqxpUIbROQzIE7AuhkBEaAj1CEALw_wcB" xr:uid="{2D078323-D039-426D-B160-4FF850EB901C}"/>
    <hyperlink ref="H277" r:id="rId207" xr:uid="{DBB39752-2C79-4E70-8C16-479A1F188562}"/>
    <hyperlink ref="H220" r:id="rId208" xr:uid="{8F5F825B-8B2F-4B76-B39B-17707ED15202}"/>
    <hyperlink ref="H73" r:id="rId209" display="mituo@luminacril.com.br - proposta 9471" xr:uid="{D90E665D-8EAD-44B1-8F81-2A465B154D59}"/>
    <hyperlink ref="H76" r:id="rId210" display="mituo@luminacril.com.br - proposta 9471" xr:uid="{AD86F294-EFEC-4EA2-B244-1D00F5798575}"/>
    <hyperlink ref="H79" r:id="rId211" display="mituo@luminacril.com.br - proposta 9471" xr:uid="{E00826AB-DD0F-447E-AC79-1575D79BE22D}"/>
    <hyperlink ref="H82" r:id="rId212" display="mituo@luminacril.com.br - proposta 9471" xr:uid="{32D82098-ED78-4949-A3A9-758576578AC8}"/>
    <hyperlink ref="H85" r:id="rId213" display="mituo@luminacril.com.br - proposta 9471" xr:uid="{A9CEF8C4-46FD-4884-B934-BA973238F3BC}"/>
    <hyperlink ref="H88" r:id="rId214" display="mituo@luminacril.com.br - proposta 9471" xr:uid="{0DDDBF1C-3163-4EF0-93B7-C37F7E9A120F}"/>
    <hyperlink ref="H91" r:id="rId215" display="mituo@luminacril.com.br - proposta 9471" xr:uid="{338F9311-45AF-4739-814D-D292D928F7F3}"/>
    <hyperlink ref="H94" r:id="rId216" display="mituo@luminacril.com.br - proposta 9471" xr:uid="{1CA44C09-4257-4452-9515-4A27C33972C4}"/>
    <hyperlink ref="H97" r:id="rId217" display="mituo@luminacril.com.br - proposta 9471" xr:uid="{4EF1B767-5AD5-45C6-8BF6-6592D28F7331}"/>
    <hyperlink ref="H202" r:id="rId218" display="mituo@luminacril.com.br - proposta 9471" xr:uid="{1889DB7C-3C90-4026-B1B7-D1E563E312C7}"/>
    <hyperlink ref="H205" r:id="rId219" display="mituo@luminacril.com.br - proposta 9471" xr:uid="{CDE06E5A-0B09-48D0-90CB-531F351C88C9}"/>
    <hyperlink ref="H208" r:id="rId220" display="mituo@luminacril.com.br - proposta 9471" xr:uid="{86EE1320-C405-4675-BB7B-ECEE9EB16646}"/>
    <hyperlink ref="H211" r:id="rId221" display="mituo@luminacril.com.br - proposta 9471" xr:uid="{A62CFACB-E2FA-4B5D-8DE0-BC5BB5020D97}"/>
    <hyperlink ref="H214" r:id="rId222" display="mituo@luminacril.com.br - proposta 9471" xr:uid="{F46F4872-C02E-41CB-A5DF-8897A3FADBF8}"/>
    <hyperlink ref="H265" r:id="rId223" xr:uid="{E6B8F59D-6DB4-4BD5-80FA-45865DD2C3EC}"/>
    <hyperlink ref="H264" r:id="rId224" display="https://www.madeiramadeira.com.br/manilha-reta-para-cabo-de-aco-3-8-vonder-plus-4540299.html?origem=pla-4540299&amp;utm_source=google&amp;utm_medium=cpc&amp;utm_content=anilhas-4544&amp;utm_term=&amp;utm_id=17854485303&amp;gad_source=1&amp;gclid=CjwKCAjw9IayBhBJEiwAVuc3fpJWuAJUxjIc9CHbXBZIrg0Pbrt6_10LZmloGAm90Od2maErF8DRDBoCLlMQAvD_BwE" xr:uid="{B50D7689-CC0E-4B93-A7AB-75D5FEEFBB0A}"/>
    <hyperlink ref="H263" r:id="rId225" xr:uid="{DE23F623-DB3A-4D11-A4FF-914AAC40BA79}"/>
    <hyperlink ref="H225" r:id="rId226" display="https://www.saogeraldo.com/valvula-de-mictorio-horizontal-com-fechamento-automatico-decamatic-eco-cromado/p?idsku=218&amp;gad_source=1&amp;gad_campaignid=17428267865&amp;gbraid=0AAAAAoKVHIwHWgIq7NXdjf7ve79CHPCgw&amp;gclid=Cj0KCQjwmK_CBhCEARIsAMKwcD67OdFi98Fe7V_kyPf7x5im0vJgBE9RYEa9Mi4W7D0kLzX1in4R-X8aAlYwEALw_wcB" xr:uid="{3BBD6C9E-5EE1-4518-8651-03EED7C43B4A}"/>
    <hyperlink ref="H226" r:id="rId227" display="https://www.abcdaconstrucao.com.br/produto/valvula-para-mictorio-horizontal-com-fechamento-automatico-decamatic-eco-cromado-deca-82427?keyword=&amp;creative=&amp;gad_source=1&amp;gad_campaignid=22490608527&amp;gbraid=0AAAAADi3r1EdfxZq5l2Q2OwUSgBUEb2M-&amp;gclid=Cj0KCQjwmK_CBhCEARIsAMKwcD4OYvcxRJFJ8PDwWd4qkZJufgmq_ybi5ezVq5SaJ27lzYMCwmKx7XEaAkKkEALw_wcB" xr:uid="{E3AD8A60-3A9F-4959-BAC6-053F6CAA8D98}"/>
    <hyperlink ref="H136" r:id="rId228" xr:uid="{3438B989-D012-47CA-8D42-A705470B0221}"/>
    <hyperlink ref="H254" r:id="rId229" display="https://www.ferramentaskennedy.com.br/conector-box-1-reto-pvc-cinza-inpol/p?idsku=37102&amp;utm_source=google&amp;utm_medium=cpc&amp;utm_campaign=21841842392&amp;kwd=&amp;matchtype=&amp;adset_id=&amp;device=c&amp;gad_source=1&amp;gad_campaignid=21845779903&amp;gbraid=0AAAAADyLiV-2E1yjCJWy1rfBg5nvmBGCM&amp;gclid=EAIaIQobChMIyevk-LWyjQMVCVRIAB2D_zmjEAQYASABEgLqy_D_BwE" xr:uid="{974433E5-6BEF-41CF-B6CA-2B71263828D1}"/>
    <hyperlink ref="H255" r:id="rId230" xr:uid="{2ECD78B8-EA0D-4E6B-8568-97891454C21D}"/>
  </hyperlinks>
  <pageMargins left="0.31496062992125984" right="0.31496062992125984" top="0.78740157480314965" bottom="0.78740157480314965" header="0.31496062992125984" footer="0.31496062992125984"/>
  <pageSetup paperSize="8" scale="91" orientation="portrait" r:id="rId231"/>
  <rowBreaks count="5" manualBreakCount="5">
    <brk id="46" max="20" man="1"/>
    <brk id="97" max="18" man="1"/>
    <brk id="151" max="20" man="1"/>
    <brk id="196" max="20" man="1"/>
    <brk id="241" max="20" man="1"/>
  </rowBreaks>
  <colBreaks count="1" manualBreakCount="1">
    <brk id="2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8609D-AD11-4623-BBD2-743B61DEC9DA}">
  <sheetPr codeName="Planilha2">
    <tabColor theme="5" tint="0.39997558519241921"/>
  </sheetPr>
  <dimension ref="A1:S132"/>
  <sheetViews>
    <sheetView showGridLines="0" tabSelected="1" topLeftCell="A94" zoomScaleNormal="100" zoomScaleSheetLayoutView="99" workbookViewId="0">
      <selection activeCell="C11" sqref="A11:XFD14"/>
    </sheetView>
  </sheetViews>
  <sheetFormatPr defaultColWidth="9.140625" defaultRowHeight="19.899999999999999" customHeight="1" x14ac:dyDescent="0.2"/>
  <cols>
    <col min="1" max="1" width="16.28515625" style="1" bestFit="1" customWidth="1"/>
    <col min="2" max="2" width="44.85546875" style="1" customWidth="1"/>
    <col min="3" max="3" width="7.42578125" style="1" customWidth="1"/>
    <col min="4" max="4" width="34.5703125" style="2" customWidth="1"/>
    <col min="5" max="5" width="19.42578125" style="2" customWidth="1"/>
    <col min="6" max="6" width="25.28515625" style="3" customWidth="1"/>
    <col min="7" max="7" width="17.85546875" style="130" customWidth="1"/>
    <col min="8" max="8" width="16.140625" style="1" customWidth="1"/>
    <col min="9" max="9" width="12.42578125" style="1" customWidth="1"/>
    <col min="10" max="10" width="17.85546875" style="1" customWidth="1"/>
    <col min="11" max="11" width="12.42578125" style="1" customWidth="1"/>
    <col min="12" max="12" width="14.28515625" style="1" customWidth="1"/>
    <col min="13" max="13" width="12.42578125" style="1" customWidth="1"/>
    <col min="14" max="16" width="16.28515625" style="1" customWidth="1"/>
    <col min="17" max="17" width="16.5703125" style="1" customWidth="1"/>
    <col min="18" max="18" width="12.42578125" style="148" bestFit="1" customWidth="1"/>
    <col min="19" max="19" width="15" style="1" customWidth="1"/>
    <col min="20" max="16384" width="9.140625" style="1"/>
  </cols>
  <sheetData>
    <row r="1" spans="1:19" ht="19.899999999999999" customHeight="1" thickBot="1" x14ac:dyDescent="0.25">
      <c r="S1" s="4"/>
    </row>
    <row r="2" spans="1:19" ht="19.899999999999999" customHeight="1" thickBot="1" x14ac:dyDescent="0.25">
      <c r="A2" s="253" t="s">
        <v>0</v>
      </c>
      <c r="B2" s="253"/>
      <c r="C2" s="253"/>
      <c r="D2" s="254"/>
      <c r="E2" s="255"/>
      <c r="F2" s="256"/>
      <c r="G2" s="253"/>
      <c r="H2" s="253"/>
      <c r="I2" s="253"/>
      <c r="J2" s="253"/>
      <c r="K2" s="253"/>
      <c r="L2" s="253"/>
      <c r="M2" s="253"/>
      <c r="N2" s="253"/>
      <c r="O2" s="253"/>
      <c r="P2" s="253"/>
      <c r="Q2" s="253"/>
      <c r="R2" s="253"/>
      <c r="S2" s="257"/>
    </row>
    <row r="3" spans="1:19" ht="19.899999999999999" customHeight="1" thickBot="1" x14ac:dyDescent="0.25">
      <c r="A3" s="5"/>
      <c r="B3" s="24"/>
      <c r="C3" s="25"/>
      <c r="D3" s="23"/>
      <c r="E3" s="23"/>
      <c r="F3" s="6"/>
      <c r="G3" s="131"/>
      <c r="H3" s="24"/>
      <c r="I3" s="24"/>
      <c r="J3" s="24"/>
      <c r="K3" s="24"/>
      <c r="L3" s="24"/>
      <c r="M3" s="26"/>
      <c r="N3" s="26"/>
      <c r="O3" s="24"/>
      <c r="P3" s="24"/>
      <c r="Q3" s="24"/>
      <c r="R3" s="149"/>
      <c r="S3" s="27"/>
    </row>
    <row r="4" spans="1:19" ht="19.899999999999999" customHeight="1" thickBot="1" x14ac:dyDescent="0.25">
      <c r="A4" s="28" t="s">
        <v>1</v>
      </c>
      <c r="B4" s="29" t="s">
        <v>2</v>
      </c>
      <c r="C4" s="29" t="s">
        <v>3</v>
      </c>
      <c r="D4" s="29" t="s">
        <v>4</v>
      </c>
      <c r="E4" s="29" t="s">
        <v>5</v>
      </c>
      <c r="F4" s="7" t="s">
        <v>6</v>
      </c>
      <c r="G4" s="132" t="s">
        <v>7</v>
      </c>
      <c r="H4" s="30" t="s">
        <v>8</v>
      </c>
      <c r="I4" s="31" t="s">
        <v>9</v>
      </c>
      <c r="J4" s="31" t="s">
        <v>10</v>
      </c>
      <c r="K4" s="31" t="s">
        <v>11</v>
      </c>
      <c r="L4" s="31" t="s">
        <v>12</v>
      </c>
      <c r="M4" s="32" t="s">
        <v>13</v>
      </c>
      <c r="N4" s="33" t="s">
        <v>14</v>
      </c>
      <c r="O4" s="34" t="s">
        <v>15</v>
      </c>
      <c r="P4" s="258" t="s">
        <v>16</v>
      </c>
      <c r="Q4" s="259"/>
      <c r="R4" s="150" t="s">
        <v>17</v>
      </c>
      <c r="S4" s="35" t="s">
        <v>18</v>
      </c>
    </row>
    <row r="5" spans="1:19" ht="19.899999999999999" customHeight="1" thickTop="1" x14ac:dyDescent="0.2">
      <c r="A5" s="247" t="s">
        <v>675</v>
      </c>
      <c r="B5" s="250" t="s">
        <v>680</v>
      </c>
      <c r="C5" s="9"/>
      <c r="D5" s="36" t="s">
        <v>678</v>
      </c>
      <c r="E5" s="19" t="s">
        <v>677</v>
      </c>
      <c r="F5" s="36" t="s">
        <v>904</v>
      </c>
      <c r="G5" s="142">
        <v>90562</v>
      </c>
      <c r="H5" s="21">
        <v>0</v>
      </c>
      <c r="I5" s="21">
        <f>H5/C6</f>
        <v>0</v>
      </c>
      <c r="J5" s="21">
        <f t="shared" ref="J5:J10" si="0">G5+I5</f>
        <v>90562</v>
      </c>
      <c r="K5" s="170">
        <f>_xlfn.STDEV.S(J5:J7)</f>
        <v>52285.995078350883</v>
      </c>
      <c r="L5" s="170">
        <f>(SUM(J5:J7))/((IF(J5=0,0,1))+(IF(J6=0,0,1))+(IF(J7=0,0,1)))</f>
        <v>90562</v>
      </c>
      <c r="M5" s="173">
        <f>K5/L5</f>
        <v>0.57735026918962573</v>
      </c>
      <c r="N5" s="37"/>
      <c r="O5" s="37"/>
      <c r="P5" s="38" t="str">
        <f>IF(M5&lt;0.25,"PROPOSTA VÁLIDA",((IF(J5&gt;N6,"PROPOSTA FORA DOS LIMITES",IF(J5&lt;O6,"PROPOSTA FORA DOS LIMITES","PROPOSTA VÁLIDA")))))</f>
        <v>PROPOSTA VÁLIDA</v>
      </c>
      <c r="Q5" s="38">
        <f t="shared" ref="Q5:Q10" si="1">(IF(P5="PROPOSTA VÁLIDA",J5,0))</f>
        <v>90562</v>
      </c>
      <c r="R5" s="185">
        <f>IF(M5&lt;0.25,AVERAGE(Q5:Q7),((IF(J5&gt;N6,0,IF(J5&lt;O6,0,J5)))+(IF(J6&gt;N6,0,IF(J6&lt;O6,0,J6)))+(IF(J7&gt;N6,0,IF(J7&lt;O6,0,J7))))/(((IF(J5&gt;N6,0,IF(J5&lt;O6,0,1))))+((IF(J6&gt;N6,0,IF(J6&lt;O6,0,1))))+((IF(J7&gt;N6,0,IF(J7&lt;O6,0,1))))))</f>
        <v>90562</v>
      </c>
      <c r="S5" s="167">
        <f>IFERROR(R5*C6,"")</f>
        <v>181124</v>
      </c>
    </row>
    <row r="6" spans="1:19" ht="19.899999999999999" customHeight="1" x14ac:dyDescent="0.2">
      <c r="A6" s="248"/>
      <c r="B6" s="251"/>
      <c r="C6" s="17">
        <v>2</v>
      </c>
      <c r="D6" s="10"/>
      <c r="E6" s="39"/>
      <c r="F6" s="66"/>
      <c r="G6" s="133"/>
      <c r="H6" s="20"/>
      <c r="I6" s="20">
        <f>H6/C6</f>
        <v>0</v>
      </c>
      <c r="J6" s="20">
        <f t="shared" si="0"/>
        <v>0</v>
      </c>
      <c r="K6" s="171"/>
      <c r="L6" s="171"/>
      <c r="M6" s="174"/>
      <c r="N6" s="40">
        <f>IF(M5&gt;=0.25,L5+K5,"CV&lt;25%")</f>
        <v>142847.99507835088</v>
      </c>
      <c r="O6" s="40">
        <f>IF(M5&gt;=0.25,L5-K5,"CV&lt;25%")</f>
        <v>38276.004921649117</v>
      </c>
      <c r="P6" s="41" t="str">
        <f>IF(M5&lt;0.25,"PROPOSTA VÁLIDA",((IF(J6&gt;N6,"PROPOSTA FORA DOS LIMITES",IF(J6&lt;O6,"PROPOSTA FORA DOS LIMITES","PROPOSTA VÁLIDA")))))</f>
        <v>PROPOSTA FORA DOS LIMITES</v>
      </c>
      <c r="Q6" s="41">
        <f t="shared" si="1"/>
        <v>0</v>
      </c>
      <c r="R6" s="186"/>
      <c r="S6" s="168"/>
    </row>
    <row r="7" spans="1:19" ht="19.899999999999999" customHeight="1" thickBot="1" x14ac:dyDescent="0.25">
      <c r="A7" s="249"/>
      <c r="B7" s="252"/>
      <c r="C7" s="18"/>
      <c r="D7" s="14"/>
      <c r="E7" s="42"/>
      <c r="F7" s="138"/>
      <c r="G7" s="134"/>
      <c r="H7" s="43"/>
      <c r="I7" s="43">
        <f>H7/C6</f>
        <v>0</v>
      </c>
      <c r="J7" s="43">
        <f t="shared" si="0"/>
        <v>0</v>
      </c>
      <c r="K7" s="172"/>
      <c r="L7" s="172"/>
      <c r="M7" s="175"/>
      <c r="N7" s="44"/>
      <c r="O7" s="44"/>
      <c r="P7" s="45" t="str">
        <f>IF(M5&lt;0.25,"PROPOSTA VÁLIDA",((IF(J7&gt;N6,"PROPOSTA FORA DOS LIMITES",IF(J7&lt;O6,"PROPOSTA FORA DOS LIMITES","PROPOSTA VÁLIDA")))))</f>
        <v>PROPOSTA FORA DOS LIMITES</v>
      </c>
      <c r="Q7" s="45">
        <f t="shared" si="1"/>
        <v>0</v>
      </c>
      <c r="R7" s="187"/>
      <c r="S7" s="169"/>
    </row>
    <row r="8" spans="1:19" ht="19.899999999999999" customHeight="1" thickTop="1" x14ac:dyDescent="0.2">
      <c r="A8" s="247" t="s">
        <v>676</v>
      </c>
      <c r="B8" s="250" t="s">
        <v>681</v>
      </c>
      <c r="C8" s="9"/>
      <c r="D8" s="36" t="s">
        <v>678</v>
      </c>
      <c r="E8" s="19" t="s">
        <v>677</v>
      </c>
      <c r="F8" s="36" t="s">
        <v>679</v>
      </c>
      <c r="G8" s="142">
        <v>11211</v>
      </c>
      <c r="H8" s="21">
        <v>0</v>
      </c>
      <c r="I8" s="21">
        <f>H8/C9</f>
        <v>0</v>
      </c>
      <c r="J8" s="21">
        <f t="shared" si="0"/>
        <v>11211</v>
      </c>
      <c r="K8" s="170">
        <f>_xlfn.STDEV.S(J8:J10)</f>
        <v>6472.6738678848942</v>
      </c>
      <c r="L8" s="170">
        <f>(SUM(J8:J10))/((IF(J8=0,0,1))+(IF(J9=0,0,1))+(IF(J10=0,0,1)))</f>
        <v>11211</v>
      </c>
      <c r="M8" s="173">
        <f>K8/L8</f>
        <v>0.57735026918962573</v>
      </c>
      <c r="N8" s="37"/>
      <c r="O8" s="37"/>
      <c r="P8" s="38" t="str">
        <f>IF(M8&lt;0.25,"PROPOSTA VÁLIDA",((IF(J8&gt;N9,"PROPOSTA FORA DOS LIMITES",IF(J8&lt;O9,"PROPOSTA FORA DOS LIMITES","PROPOSTA VÁLIDA")))))</f>
        <v>PROPOSTA VÁLIDA</v>
      </c>
      <c r="Q8" s="38">
        <f t="shared" si="1"/>
        <v>11211</v>
      </c>
      <c r="R8" s="185">
        <f>IF(M8&lt;0.25,AVERAGE(Q8:Q10),((IF(J8&gt;N9,0,IF(J8&lt;O9,0,J8)))+(IF(J9&gt;N9,0,IF(J9&lt;O9,0,J9)))+(IF(J10&gt;N9,0,IF(J10&lt;O9,0,J10))))/(((IF(J8&gt;N9,0,IF(J8&lt;O9,0,1))))+((IF(J9&gt;N9,0,IF(J9&lt;O9,0,1))))+((IF(J10&gt;N9,0,IF(J10&lt;O9,0,1))))))</f>
        <v>11211</v>
      </c>
      <c r="S8" s="167">
        <f>IFERROR(R8*C9,"")</f>
        <v>11211</v>
      </c>
    </row>
    <row r="9" spans="1:19" ht="19.899999999999999" customHeight="1" x14ac:dyDescent="0.2">
      <c r="A9" s="248"/>
      <c r="B9" s="251"/>
      <c r="C9" s="17">
        <v>1</v>
      </c>
      <c r="D9" s="10"/>
      <c r="E9" s="39"/>
      <c r="F9" s="66"/>
      <c r="G9" s="133"/>
      <c r="H9" s="20"/>
      <c r="I9" s="20">
        <f>H9/C9</f>
        <v>0</v>
      </c>
      <c r="J9" s="20">
        <f t="shared" si="0"/>
        <v>0</v>
      </c>
      <c r="K9" s="171"/>
      <c r="L9" s="171"/>
      <c r="M9" s="174"/>
      <c r="N9" s="40">
        <f>IF(M8&gt;=0.25,L8+K8,"CV&lt;25%")</f>
        <v>17683.673867884892</v>
      </c>
      <c r="O9" s="40">
        <f>IF(M8&gt;=0.25,L8-K8,"CV&lt;25%")</f>
        <v>4738.3261321151058</v>
      </c>
      <c r="P9" s="41" t="str">
        <f>IF(M8&lt;0.25,"PROPOSTA VÁLIDA",((IF(J9&gt;N9,"PROPOSTA FORA DOS LIMITES",IF(J9&lt;O9,"PROPOSTA FORA DOS LIMITES","PROPOSTA VÁLIDA")))))</f>
        <v>PROPOSTA FORA DOS LIMITES</v>
      </c>
      <c r="Q9" s="41">
        <f t="shared" si="1"/>
        <v>0</v>
      </c>
      <c r="R9" s="186"/>
      <c r="S9" s="168"/>
    </row>
    <row r="10" spans="1:19" ht="19.899999999999999" customHeight="1" thickBot="1" x14ac:dyDescent="0.25">
      <c r="A10" s="249"/>
      <c r="B10" s="252"/>
      <c r="C10" s="18"/>
      <c r="D10" s="14"/>
      <c r="E10" s="42"/>
      <c r="F10" s="138"/>
      <c r="G10" s="134"/>
      <c r="H10" s="43"/>
      <c r="I10" s="43">
        <f>H10/C9</f>
        <v>0</v>
      </c>
      <c r="J10" s="43">
        <f t="shared" si="0"/>
        <v>0</v>
      </c>
      <c r="K10" s="172"/>
      <c r="L10" s="172"/>
      <c r="M10" s="175"/>
      <c r="N10" s="44"/>
      <c r="O10" s="44"/>
      <c r="P10" s="45" t="str">
        <f>IF(M8&lt;0.25,"PROPOSTA VÁLIDA",((IF(J10&gt;N9,"PROPOSTA FORA DOS LIMITES",IF(J10&lt;O9,"PROPOSTA FORA DOS LIMITES","PROPOSTA VÁLIDA")))))</f>
        <v>PROPOSTA FORA DOS LIMITES</v>
      </c>
      <c r="Q10" s="45">
        <f t="shared" si="1"/>
        <v>0</v>
      </c>
      <c r="R10" s="187"/>
      <c r="S10" s="169"/>
    </row>
    <row r="11" spans="1:19" ht="19.899999999999999" customHeight="1" thickTop="1" x14ac:dyDescent="0.2">
      <c r="A11" s="247" t="s">
        <v>456</v>
      </c>
      <c r="B11" s="250" t="s">
        <v>438</v>
      </c>
      <c r="D11" s="36" t="s">
        <v>439</v>
      </c>
      <c r="E11" s="19" t="s">
        <v>484</v>
      </c>
      <c r="F11" s="36" t="s">
        <v>843</v>
      </c>
      <c r="G11" s="105">
        <v>296</v>
      </c>
      <c r="H11" s="105">
        <f>418.8/C12</f>
        <v>104.7</v>
      </c>
      <c r="I11" s="21">
        <f>H11/C12</f>
        <v>26.175000000000001</v>
      </c>
      <c r="J11" s="21">
        <f t="shared" ref="J11" si="2">G11+I11</f>
        <v>322.17500000000001</v>
      </c>
      <c r="K11" s="170" t="e">
        <f>_xlfn.STDEV.S(J11:J13)</f>
        <v>#REF!</v>
      </c>
      <c r="L11" s="170" t="e">
        <f>(SUM(J11:J13))/((IF(J11=0,0,1))+(IF(J12=0,0,1))+(IF(J13=0,0,1)))</f>
        <v>#REF!</v>
      </c>
      <c r="M11" s="173" t="e">
        <f>K11/L11</f>
        <v>#REF!</v>
      </c>
      <c r="N11" s="37"/>
      <c r="O11" s="37"/>
      <c r="P11" s="38" t="e">
        <f>IF(M11&lt;0.25,"PROPOSTA VÁLIDA",((IF(J11&gt;N12,"PROPOSTA FORA DOS LIMITES",IF(J11&lt;O12,"PROPOSTA FORA DOS LIMITES","PROPOSTA VÁLIDA")))))</f>
        <v>#REF!</v>
      </c>
      <c r="Q11" s="38" t="e">
        <f t="shared" ref="Q11:Q18" si="3">(IF(P11="PROPOSTA VÁLIDA",J11,0))</f>
        <v>#REF!</v>
      </c>
      <c r="R11" s="185" t="e">
        <f>IF(M11&lt;0.25,AVERAGE(Q11:Q13),((IF(J11&gt;N12,0,IF(J11&lt;O12,0,J11)))+(IF(J12&gt;N12,0,IF(J12&lt;O12,0,J12)))+(IF(J13&gt;N12,0,IF(J13&lt;O12,0,J13))))/(((IF(J11&gt;N12,0,IF(J11&lt;O12,0,1))))+((IF(J12&gt;N12,0,IF(J12&lt;O12,0,1))))+((IF(J13&gt;N12,0,IF(J13&lt;O12,0,1))))))</f>
        <v>#REF!</v>
      </c>
      <c r="S11" s="167" t="str">
        <f>IFERROR(R11*C12,"")</f>
        <v/>
      </c>
    </row>
    <row r="12" spans="1:19" ht="19.899999999999999" customHeight="1" x14ac:dyDescent="0.2">
      <c r="A12" s="248"/>
      <c r="B12" s="251"/>
      <c r="C12" s="17">
        <v>4</v>
      </c>
      <c r="D12" s="10" t="s">
        <v>454</v>
      </c>
      <c r="E12" s="64" t="s">
        <v>485</v>
      </c>
      <c r="F12" s="10" t="s">
        <v>844</v>
      </c>
      <c r="G12" s="106">
        <v>198</v>
      </c>
      <c r="H12" s="106">
        <v>0</v>
      </c>
      <c r="I12" s="20" t="e">
        <f>H12/#REF!</f>
        <v>#REF!</v>
      </c>
      <c r="J12" s="20" t="e">
        <f t="shared" ref="J12:J14" si="4">G12+I12</f>
        <v>#REF!</v>
      </c>
      <c r="K12" s="171"/>
      <c r="L12" s="171"/>
      <c r="M12" s="174"/>
      <c r="N12" s="40" t="e">
        <f>IF(M11&gt;=0.25,L11+K11,"CV&lt;25%")</f>
        <v>#REF!</v>
      </c>
      <c r="O12" s="40" t="e">
        <f>IF(M11&gt;=0.25,L11-K11,"CV&lt;25%")</f>
        <v>#REF!</v>
      </c>
      <c r="P12" s="41" t="e">
        <f>IF(M11&lt;0.25,"PROPOSTA VÁLIDA",((IF(J12&gt;N12,"PROPOSTA FORA DOS LIMITES",IF(J12&lt;O12,"PROPOSTA FORA DOS LIMITES","PROPOSTA VÁLIDA")))))</f>
        <v>#REF!</v>
      </c>
      <c r="Q12" s="41" t="e">
        <f t="shared" si="3"/>
        <v>#REF!</v>
      </c>
      <c r="R12" s="186"/>
      <c r="S12" s="168"/>
    </row>
    <row r="13" spans="1:19" ht="19.899999999999999" customHeight="1" thickBot="1" x14ac:dyDescent="0.25">
      <c r="A13" s="249"/>
      <c r="B13" s="252"/>
      <c r="C13" s="18"/>
      <c r="D13" s="14" t="s">
        <v>846</v>
      </c>
      <c r="E13" s="146" t="s">
        <v>492</v>
      </c>
      <c r="F13" s="10" t="s">
        <v>845</v>
      </c>
      <c r="G13" s="107">
        <v>258.39999999999998</v>
      </c>
      <c r="H13" s="43">
        <f>H11</f>
        <v>104.7</v>
      </c>
      <c r="I13" s="43" t="e">
        <f>H13/#REF!</f>
        <v>#REF!</v>
      </c>
      <c r="J13" s="43" t="e">
        <f t="shared" si="4"/>
        <v>#REF!</v>
      </c>
      <c r="K13" s="172"/>
      <c r="L13" s="172"/>
      <c r="M13" s="175"/>
      <c r="N13" s="44"/>
      <c r="O13" s="44"/>
      <c r="P13" s="45" t="e">
        <f>IF(M11&lt;0.25,"PROPOSTA VÁLIDA",((IF(J13&gt;N12,"PROPOSTA FORA DOS LIMITES",IF(J13&lt;O12,"PROPOSTA FORA DOS LIMITES","PROPOSTA VÁLIDA")))))</f>
        <v>#REF!</v>
      </c>
      <c r="Q13" s="45" t="e">
        <f t="shared" si="3"/>
        <v>#REF!</v>
      </c>
      <c r="R13" s="187"/>
      <c r="S13" s="169"/>
    </row>
    <row r="14" spans="1:19" ht="19.899999999999999" customHeight="1" thickTop="1" x14ac:dyDescent="0.2">
      <c r="A14" s="247" t="s">
        <v>457</v>
      </c>
      <c r="B14" s="250" t="s">
        <v>440</v>
      </c>
      <c r="C14" s="9"/>
      <c r="D14" s="36" t="s">
        <v>439</v>
      </c>
      <c r="E14" s="19" t="s">
        <v>484</v>
      </c>
      <c r="F14" s="36" t="s">
        <v>843</v>
      </c>
      <c r="G14" s="105">
        <v>275</v>
      </c>
      <c r="H14" s="105">
        <f>1361.9/C15</f>
        <v>97.278571428571439</v>
      </c>
      <c r="I14" s="21">
        <f>H14/C15</f>
        <v>6.9484693877551029</v>
      </c>
      <c r="J14" s="21">
        <f t="shared" si="4"/>
        <v>281.9484693877551</v>
      </c>
      <c r="K14" s="170" t="e">
        <f>_xlfn.STDEV.S(J14:J16)</f>
        <v>#REF!</v>
      </c>
      <c r="L14" s="170" t="e">
        <f>(SUM(J14:J16))/((IF(J14=0,0,1))+(IF(J15=0,0,1))+(IF(J16=0,0,1)))</f>
        <v>#REF!</v>
      </c>
      <c r="M14" s="173" t="e">
        <f>K14/L14</f>
        <v>#REF!</v>
      </c>
      <c r="N14" s="37"/>
      <c r="O14" s="37"/>
      <c r="P14" s="38" t="e">
        <f>IF(M14&lt;0.25,"PROPOSTA VÁLIDA",((IF(J14&gt;N15,"PROPOSTA FORA DOS LIMITES",IF(J14&lt;O15,"PROPOSTA FORA DOS LIMITES","PROPOSTA VÁLIDA")))))</f>
        <v>#REF!</v>
      </c>
      <c r="Q14" s="38" t="e">
        <f t="shared" si="3"/>
        <v>#REF!</v>
      </c>
      <c r="R14" s="185" t="e">
        <f>IF(M14&lt;0.25,AVERAGE(Q14:Q16),((IF(J14&gt;N15,0,IF(J14&lt;O15,0,J14)))+(IF(J15&gt;N15,0,IF(J15&lt;O15,0,J15)))+(IF(J16&gt;N15,0,IF(J16&lt;O15,0,J16))))/(((IF(J14&gt;N15,0,IF(J14&lt;O15,0,1))))+((IF(J15&gt;N15,0,IF(J15&lt;O15,0,1))))+((IF(J16&gt;N15,0,IF(J16&lt;O15,0,1))))))</f>
        <v>#REF!</v>
      </c>
      <c r="S14" s="167" t="str">
        <f>IFERROR(R14*#REF!,"")</f>
        <v/>
      </c>
    </row>
    <row r="15" spans="1:19" ht="19.899999999999999" customHeight="1" x14ac:dyDescent="0.2">
      <c r="A15" s="248"/>
      <c r="B15" s="251"/>
      <c r="C15" s="101">
        <v>14</v>
      </c>
      <c r="D15" s="10" t="s">
        <v>454</v>
      </c>
      <c r="E15" s="64" t="s">
        <v>485</v>
      </c>
      <c r="F15" s="10" t="s">
        <v>844</v>
      </c>
      <c r="G15" s="106">
        <v>177</v>
      </c>
      <c r="H15" s="20">
        <v>0</v>
      </c>
      <c r="I15" s="20" t="e">
        <f>H15/#REF!</f>
        <v>#REF!</v>
      </c>
      <c r="J15" s="20" t="e">
        <f t="shared" ref="J15:J17" si="5">G15+I15</f>
        <v>#REF!</v>
      </c>
      <c r="K15" s="171"/>
      <c r="L15" s="171"/>
      <c r="M15" s="174"/>
      <c r="N15" s="40" t="e">
        <f>IF(M14&gt;=0.25,L14+K14,"CV&lt;25%")</f>
        <v>#REF!</v>
      </c>
      <c r="O15" s="40" t="e">
        <f>IF(M14&gt;=0.25,L14-K14,"CV&lt;25%")</f>
        <v>#REF!</v>
      </c>
      <c r="P15" s="41" t="e">
        <f>IF(M14&lt;0.25,"PROPOSTA VÁLIDA",((IF(J15&gt;N15,"PROPOSTA FORA DOS LIMITES",IF(J15&lt;O15,"PROPOSTA FORA DOS LIMITES","PROPOSTA VÁLIDA")))))</f>
        <v>#REF!</v>
      </c>
      <c r="Q15" s="41" t="e">
        <f t="shared" si="3"/>
        <v>#REF!</v>
      </c>
      <c r="R15" s="186"/>
      <c r="S15" s="168"/>
    </row>
    <row r="16" spans="1:19" ht="19.899999999999999" customHeight="1" thickBot="1" x14ac:dyDescent="0.25">
      <c r="A16" s="249"/>
      <c r="B16" s="252"/>
      <c r="C16" s="18"/>
      <c r="D16" s="14" t="s">
        <v>846</v>
      </c>
      <c r="E16" s="146" t="s">
        <v>492</v>
      </c>
      <c r="F16" s="10" t="s">
        <v>845</v>
      </c>
      <c r="G16" s="107">
        <v>241.7</v>
      </c>
      <c r="H16" s="43">
        <f>H14</f>
        <v>97.278571428571439</v>
      </c>
      <c r="I16" s="43" t="e">
        <f>H16/#REF!</f>
        <v>#REF!</v>
      </c>
      <c r="J16" s="43" t="e">
        <f t="shared" si="5"/>
        <v>#REF!</v>
      </c>
      <c r="K16" s="172"/>
      <c r="L16" s="172"/>
      <c r="M16" s="175"/>
      <c r="N16" s="44"/>
      <c r="O16" s="44"/>
      <c r="P16" s="45" t="e">
        <f>IF(M14&lt;0.25,"PROPOSTA VÁLIDA",((IF(J16&gt;N15,"PROPOSTA FORA DOS LIMITES",IF(J16&lt;O15,"PROPOSTA FORA DOS LIMITES","PROPOSTA VÁLIDA")))))</f>
        <v>#REF!</v>
      </c>
      <c r="Q16" s="45" t="e">
        <f t="shared" si="3"/>
        <v>#REF!</v>
      </c>
      <c r="R16" s="187"/>
      <c r="S16" s="169"/>
    </row>
    <row r="17" spans="1:19" ht="19.899999999999999" customHeight="1" thickTop="1" x14ac:dyDescent="0.2">
      <c r="A17" s="247" t="s">
        <v>458</v>
      </c>
      <c r="B17" s="250" t="s">
        <v>441</v>
      </c>
      <c r="C17" s="9"/>
      <c r="D17" s="36" t="s">
        <v>439</v>
      </c>
      <c r="E17" s="19" t="s">
        <v>484</v>
      </c>
      <c r="F17" s="36" t="s">
        <v>843</v>
      </c>
      <c r="G17" s="105">
        <v>259</v>
      </c>
      <c r="H17" s="105">
        <f>366.5/C18</f>
        <v>91.625</v>
      </c>
      <c r="I17" s="21">
        <f>H17/C18</f>
        <v>22.90625</v>
      </c>
      <c r="J17" s="21">
        <f t="shared" si="5"/>
        <v>281.90625</v>
      </c>
      <c r="K17" s="170" t="e">
        <f>_xlfn.STDEV.S(J17:J19)</f>
        <v>#REF!</v>
      </c>
      <c r="L17" s="170" t="e">
        <f>(SUM(J17:J19))/((IF(J17=0,0,1))+(IF(J18=0,0,1))+(IF(J19=0,0,1)))</f>
        <v>#REF!</v>
      </c>
      <c r="M17" s="173" t="e">
        <f>K17/L17</f>
        <v>#REF!</v>
      </c>
      <c r="N17" s="37"/>
      <c r="O17" s="37"/>
      <c r="P17" s="38" t="e">
        <f>IF(M17&lt;0.25,"PROPOSTA VÁLIDA",((IF(J17&gt;N18,"PROPOSTA FORA DOS LIMITES",IF(J17&lt;O18,"PROPOSTA FORA DOS LIMITES","PROPOSTA VÁLIDA")))))</f>
        <v>#REF!</v>
      </c>
      <c r="Q17" s="38" t="e">
        <f t="shared" si="3"/>
        <v>#REF!</v>
      </c>
      <c r="R17" s="185" t="e">
        <f>IF(M17&lt;0.25,AVERAGE(Q17:Q19),((IF(J17&gt;N18,0,IF(J17&lt;O18,0,J17)))+(IF(J18&gt;N18,0,IF(J18&lt;O18,0,J18)))+(IF(J19&gt;N18,0,IF(J19&lt;O18,0,J19))))/(((IF(J17&gt;N18,0,IF(J17&lt;O18,0,1))))+((IF(J18&gt;N18,0,IF(J18&lt;O18,0,1))))+((IF(J19&gt;N18,0,IF(J19&lt;O18,0,1))))))</f>
        <v>#REF!</v>
      </c>
      <c r="S17" s="167" t="str">
        <f>IFERROR(R17*C18,"")</f>
        <v/>
      </c>
    </row>
    <row r="18" spans="1:19" ht="19.899999999999999" customHeight="1" x14ac:dyDescent="0.2">
      <c r="A18" s="248"/>
      <c r="B18" s="251"/>
      <c r="C18" s="17">
        <v>4</v>
      </c>
      <c r="D18" s="10" t="s">
        <v>454</v>
      </c>
      <c r="E18" s="64" t="s">
        <v>485</v>
      </c>
      <c r="F18" s="10" t="s">
        <v>844</v>
      </c>
      <c r="G18" s="106">
        <v>156</v>
      </c>
      <c r="H18" s="20">
        <v>0</v>
      </c>
      <c r="I18" s="20" t="e">
        <f>H18/#REF!</f>
        <v>#REF!</v>
      </c>
      <c r="J18" s="20" t="e">
        <f t="shared" ref="J18:J20" si="6">G18+I18</f>
        <v>#REF!</v>
      </c>
      <c r="K18" s="171"/>
      <c r="L18" s="171"/>
      <c r="M18" s="174"/>
      <c r="N18" s="40" t="e">
        <f>IF(M17&gt;=0.25,L17+K17,"CV&lt;25%")</f>
        <v>#REF!</v>
      </c>
      <c r="O18" s="40" t="e">
        <f>IF(M17&gt;=0.25,L17-K17,"CV&lt;25%")</f>
        <v>#REF!</v>
      </c>
      <c r="P18" s="41" t="e">
        <f>IF(M17&lt;0.25,"PROPOSTA VÁLIDA",((IF(J18&gt;N18,"PROPOSTA FORA DOS LIMITES",IF(J18&lt;O18,"PROPOSTA FORA DOS LIMITES","PROPOSTA VÁLIDA")))))</f>
        <v>#REF!</v>
      </c>
      <c r="Q18" s="41" t="e">
        <f t="shared" si="3"/>
        <v>#REF!</v>
      </c>
      <c r="R18" s="186"/>
      <c r="S18" s="168"/>
    </row>
    <row r="19" spans="1:19" ht="19.899999999999999" customHeight="1" thickBot="1" x14ac:dyDescent="0.25">
      <c r="A19" s="249"/>
      <c r="B19" s="252"/>
      <c r="C19" s="18"/>
      <c r="D19" s="14" t="s">
        <v>846</v>
      </c>
      <c r="E19" s="146" t="s">
        <v>492</v>
      </c>
      <c r="F19" s="10" t="s">
        <v>845</v>
      </c>
      <c r="G19" s="107">
        <v>715.93</v>
      </c>
      <c r="H19" s="43">
        <f>H17</f>
        <v>91.625</v>
      </c>
      <c r="I19" s="43" t="e">
        <f>H19/#REF!</f>
        <v>#REF!</v>
      </c>
      <c r="J19" s="43" t="e">
        <f t="shared" si="6"/>
        <v>#REF!</v>
      </c>
      <c r="K19" s="172"/>
      <c r="L19" s="172"/>
      <c r="M19" s="175"/>
      <c r="N19" s="44"/>
      <c r="O19" s="44"/>
      <c r="P19" s="45" t="e">
        <f>IF(M17&lt;0.25,"PROPOSTA VÁLIDA",((IF(J19&gt;N18,"PROPOSTA FORA DOS LIMITES",IF(J19&lt;O18,"PROPOSTA FORA DOS LIMITES","PROPOSTA VÁLIDA")))))</f>
        <v>#REF!</v>
      </c>
      <c r="Q19" s="45" t="e">
        <f t="shared" ref="Q19:Q50" si="7">(IF(P19="PROPOSTA VÁLIDA",J19,0))</f>
        <v>#REF!</v>
      </c>
      <c r="R19" s="187"/>
      <c r="S19" s="169"/>
    </row>
    <row r="20" spans="1:19" ht="19.899999999999999" customHeight="1" thickTop="1" x14ac:dyDescent="0.2">
      <c r="A20" s="247" t="s">
        <v>459</v>
      </c>
      <c r="B20" s="250" t="s">
        <v>442</v>
      </c>
      <c r="D20" s="36" t="s">
        <v>439</v>
      </c>
      <c r="E20" s="19" t="s">
        <v>484</v>
      </c>
      <c r="F20" s="36" t="s">
        <v>843</v>
      </c>
      <c r="G20" s="105">
        <v>1166</v>
      </c>
      <c r="H20" s="105">
        <f>412.2/C21</f>
        <v>206.1</v>
      </c>
      <c r="I20" s="21">
        <f>H20/C21</f>
        <v>103.05</v>
      </c>
      <c r="J20" s="21">
        <f t="shared" si="6"/>
        <v>1269.05</v>
      </c>
      <c r="K20" s="170" t="e">
        <f>_xlfn.STDEV.S(J20:J22)</f>
        <v>#REF!</v>
      </c>
      <c r="L20" s="170" t="e">
        <f>(SUM(J20:J22))/((IF(J20=0,0,1))+(IF(J21=0,0,1))+(IF(J22=0,0,1)))</f>
        <v>#REF!</v>
      </c>
      <c r="M20" s="173" t="e">
        <f>K20/L20</f>
        <v>#REF!</v>
      </c>
      <c r="N20" s="37"/>
      <c r="O20" s="37"/>
      <c r="P20" s="38" t="e">
        <f>IF(M20&lt;0.25,"PROPOSTA VÁLIDA",((IF(J20&gt;N21,"PROPOSTA FORA DOS LIMITES",IF(J20&lt;O21,"PROPOSTA FORA DOS LIMITES","PROPOSTA VÁLIDA")))))</f>
        <v>#REF!</v>
      </c>
      <c r="Q20" s="38" t="e">
        <f t="shared" si="7"/>
        <v>#REF!</v>
      </c>
      <c r="R20" s="185" t="e">
        <f>IF(M20&lt;0.25,AVERAGE(Q20:Q22),((IF(J20&gt;N21,0,IF(J20&lt;O21,0,J20)))+(IF(J21&gt;N21,0,IF(J21&lt;O21,0,J21)))+(IF(J22&gt;N21,0,IF(J22&lt;O21,0,J22))))/(((IF(J20&gt;N21,0,IF(J20&lt;O21,0,1))))+((IF(J21&gt;N21,0,IF(J21&lt;O21,0,1))))+((IF(J22&gt;N21,0,IF(J22&lt;O21,0,1))))))</f>
        <v>#REF!</v>
      </c>
      <c r="S20" s="167" t="str">
        <f>IFERROR(R20*#REF!,"")</f>
        <v/>
      </c>
    </row>
    <row r="21" spans="1:19" ht="19.899999999999999" customHeight="1" x14ac:dyDescent="0.2">
      <c r="A21" s="248"/>
      <c r="B21" s="251"/>
      <c r="C21" s="17">
        <v>2</v>
      </c>
      <c r="D21" s="10" t="s">
        <v>454</v>
      </c>
      <c r="E21" s="64" t="s">
        <v>485</v>
      </c>
      <c r="F21" s="10" t="s">
        <v>844</v>
      </c>
      <c r="G21" s="106">
        <v>1270</v>
      </c>
      <c r="H21" s="20">
        <v>0</v>
      </c>
      <c r="I21" s="20" t="e">
        <f>H21/#REF!</f>
        <v>#REF!</v>
      </c>
      <c r="J21" s="20" t="e">
        <f t="shared" ref="J21:J23" si="8">G21+I21</f>
        <v>#REF!</v>
      </c>
      <c r="K21" s="171"/>
      <c r="L21" s="171"/>
      <c r="M21" s="174"/>
      <c r="N21" s="40" t="e">
        <f>IF(M20&gt;=0.25,L20+K20,"CV&lt;25%")</f>
        <v>#REF!</v>
      </c>
      <c r="O21" s="40" t="e">
        <f>IF(M20&gt;=0.25,L20-K20,"CV&lt;25%")</f>
        <v>#REF!</v>
      </c>
      <c r="P21" s="41" t="e">
        <f>IF(M20&lt;0.25,"PROPOSTA VÁLIDA",((IF(J21&gt;N21,"PROPOSTA FORA DOS LIMITES",IF(J21&lt;O21,"PROPOSTA FORA DOS LIMITES","PROPOSTA VÁLIDA")))))</f>
        <v>#REF!</v>
      </c>
      <c r="Q21" s="41" t="e">
        <f t="shared" si="7"/>
        <v>#REF!</v>
      </c>
      <c r="R21" s="186"/>
      <c r="S21" s="168"/>
    </row>
    <row r="22" spans="1:19" ht="19.899999999999999" customHeight="1" thickBot="1" x14ac:dyDescent="0.25">
      <c r="A22" s="249"/>
      <c r="B22" s="252"/>
      <c r="C22" s="18"/>
      <c r="D22" s="14" t="s">
        <v>846</v>
      </c>
      <c r="E22" s="146" t="s">
        <v>492</v>
      </c>
      <c r="F22" s="10" t="s">
        <v>845</v>
      </c>
      <c r="G22" s="107">
        <v>167.35</v>
      </c>
      <c r="H22" s="43">
        <f>H20</f>
        <v>206.1</v>
      </c>
      <c r="I22" s="43" t="e">
        <f>H22/#REF!</f>
        <v>#REF!</v>
      </c>
      <c r="J22" s="43" t="e">
        <f t="shared" si="8"/>
        <v>#REF!</v>
      </c>
      <c r="K22" s="172"/>
      <c r="L22" s="172"/>
      <c r="M22" s="175"/>
      <c r="N22" s="44"/>
      <c r="O22" s="44"/>
      <c r="P22" s="45" t="e">
        <f>IF(M20&lt;0.25,"PROPOSTA VÁLIDA",((IF(J22&gt;N21,"PROPOSTA FORA DOS LIMITES",IF(J22&lt;O21,"PROPOSTA FORA DOS LIMITES","PROPOSTA VÁLIDA")))))</f>
        <v>#REF!</v>
      </c>
      <c r="Q22" s="45" t="e">
        <f t="shared" si="7"/>
        <v>#REF!</v>
      </c>
      <c r="R22" s="187"/>
      <c r="S22" s="169"/>
    </row>
    <row r="23" spans="1:19" ht="19.899999999999999" customHeight="1" thickTop="1" x14ac:dyDescent="0.2">
      <c r="A23" s="247" t="s">
        <v>460</v>
      </c>
      <c r="B23" s="250" t="s">
        <v>443</v>
      </c>
      <c r="C23" s="9"/>
      <c r="D23" s="36" t="s">
        <v>439</v>
      </c>
      <c r="E23" s="19" t="s">
        <v>484</v>
      </c>
      <c r="F23" s="36" t="s">
        <v>843</v>
      </c>
      <c r="G23" s="105">
        <v>163</v>
      </c>
      <c r="H23" s="105">
        <f>173/C24</f>
        <v>57.666666666666664</v>
      </c>
      <c r="I23" s="21">
        <f>H23/C24</f>
        <v>19.222222222222221</v>
      </c>
      <c r="J23" s="21">
        <f t="shared" si="8"/>
        <v>182.22222222222223</v>
      </c>
      <c r="K23" s="170" t="e">
        <f>_xlfn.STDEV.S(J23:J25)</f>
        <v>#REF!</v>
      </c>
      <c r="L23" s="170" t="e">
        <f>(SUM(J23:J25))/((IF(J23=0,0,1))+(IF(J24=0,0,1))+(IF(J25=0,0,1)))</f>
        <v>#REF!</v>
      </c>
      <c r="M23" s="173" t="e">
        <f>K23/L23</f>
        <v>#REF!</v>
      </c>
      <c r="N23" s="37"/>
      <c r="O23" s="37"/>
      <c r="P23" s="38" t="e">
        <f>IF(M23&lt;0.25,"PROPOSTA VÁLIDA",((IF(J23&gt;N24,"PROPOSTA FORA DOS LIMITES",IF(J23&lt;O24,"PROPOSTA FORA DOS LIMITES","PROPOSTA VÁLIDA")))))</f>
        <v>#REF!</v>
      </c>
      <c r="Q23" s="38" t="e">
        <f t="shared" si="7"/>
        <v>#REF!</v>
      </c>
      <c r="R23" s="185" t="e">
        <f>IF(M23&lt;0.25,AVERAGE(Q23:Q25),((IF(J23&gt;N24,0,IF(J23&lt;O24,0,J23)))+(IF(J24&gt;N24,0,IF(J24&lt;O24,0,J24)))+(IF(J25&gt;N24,0,IF(J25&lt;O24,0,J25))))/(((IF(J23&gt;N24,0,IF(J23&lt;O24,0,1))))+((IF(J24&gt;N24,0,IF(J24&lt;O24,0,1))))+((IF(J25&gt;N24,0,IF(J25&lt;O24,0,1))))))</f>
        <v>#REF!</v>
      </c>
      <c r="S23" s="167" t="str">
        <f>IFERROR(R23*C24,"")</f>
        <v/>
      </c>
    </row>
    <row r="24" spans="1:19" ht="19.899999999999999" customHeight="1" x14ac:dyDescent="0.2">
      <c r="A24" s="248"/>
      <c r="B24" s="251"/>
      <c r="C24" s="17">
        <v>3</v>
      </c>
      <c r="D24" s="10" t="s">
        <v>454</v>
      </c>
      <c r="E24" s="64" t="s">
        <v>485</v>
      </c>
      <c r="F24" s="10" t="s">
        <v>844</v>
      </c>
      <c r="G24" s="106">
        <v>89</v>
      </c>
      <c r="H24" s="20">
        <v>0</v>
      </c>
      <c r="I24" s="20" t="e">
        <f>H24/#REF!</f>
        <v>#REF!</v>
      </c>
      <c r="J24" s="20" t="e">
        <f t="shared" ref="J24:J26" si="9">G24+I24</f>
        <v>#REF!</v>
      </c>
      <c r="K24" s="171"/>
      <c r="L24" s="171"/>
      <c r="M24" s="174"/>
      <c r="N24" s="40" t="e">
        <f>IF(M23&gt;=0.25,L23+K23,"CV&lt;25%")</f>
        <v>#REF!</v>
      </c>
      <c r="O24" s="40" t="e">
        <f>IF(M23&gt;=0.25,L23-K23,"CV&lt;25%")</f>
        <v>#REF!</v>
      </c>
      <c r="P24" s="41" t="e">
        <f>IF(M23&lt;0.25,"PROPOSTA VÁLIDA",((IF(J24&gt;N24,"PROPOSTA FORA DOS LIMITES",IF(J24&lt;O24,"PROPOSTA FORA DOS LIMITES","PROPOSTA VÁLIDA")))))</f>
        <v>#REF!</v>
      </c>
      <c r="Q24" s="41" t="e">
        <f t="shared" si="7"/>
        <v>#REF!</v>
      </c>
      <c r="R24" s="186"/>
      <c r="S24" s="168"/>
    </row>
    <row r="25" spans="1:19" ht="19.899999999999999" customHeight="1" thickBot="1" x14ac:dyDescent="0.25">
      <c r="A25" s="249"/>
      <c r="B25" s="252"/>
      <c r="C25" s="18"/>
      <c r="D25" s="14" t="s">
        <v>846</v>
      </c>
      <c r="E25" s="146" t="s">
        <v>492</v>
      </c>
      <c r="F25" s="10" t="s">
        <v>845</v>
      </c>
      <c r="G25" s="107">
        <v>184.97</v>
      </c>
      <c r="H25" s="43">
        <f>H23</f>
        <v>57.666666666666664</v>
      </c>
      <c r="I25" s="43" t="e">
        <f>H25/#REF!</f>
        <v>#REF!</v>
      </c>
      <c r="J25" s="43" t="e">
        <f t="shared" si="9"/>
        <v>#REF!</v>
      </c>
      <c r="K25" s="172"/>
      <c r="L25" s="172"/>
      <c r="M25" s="175"/>
      <c r="N25" s="44"/>
      <c r="O25" s="44"/>
      <c r="P25" s="45" t="e">
        <f>IF(M23&lt;0.25,"PROPOSTA VÁLIDA",((IF(J25&gt;N24,"PROPOSTA FORA DOS LIMITES",IF(J25&lt;O24,"PROPOSTA FORA DOS LIMITES","PROPOSTA VÁLIDA")))))</f>
        <v>#REF!</v>
      </c>
      <c r="Q25" s="45" t="e">
        <f t="shared" si="7"/>
        <v>#REF!</v>
      </c>
      <c r="R25" s="187"/>
      <c r="S25" s="169"/>
    </row>
    <row r="26" spans="1:19" ht="19.899999999999999" customHeight="1" thickTop="1" x14ac:dyDescent="0.2">
      <c r="A26" s="247" t="s">
        <v>461</v>
      </c>
      <c r="B26" s="250" t="s">
        <v>444</v>
      </c>
      <c r="D26" s="36" t="s">
        <v>439</v>
      </c>
      <c r="E26" s="19" t="s">
        <v>484</v>
      </c>
      <c r="F26" s="36" t="s">
        <v>843</v>
      </c>
      <c r="G26" s="105">
        <v>186</v>
      </c>
      <c r="H26" s="21">
        <f>131.6/C27</f>
        <v>65.8</v>
      </c>
      <c r="I26" s="21">
        <f>H26/C27</f>
        <v>32.9</v>
      </c>
      <c r="J26" s="21">
        <f t="shared" si="9"/>
        <v>218.9</v>
      </c>
      <c r="K26" s="170" t="e">
        <f>_xlfn.STDEV.S(J26:J28)</f>
        <v>#REF!</v>
      </c>
      <c r="L26" s="170" t="e">
        <f>(SUM(J26:J28))/((IF(J26=0,0,1))+(IF(J27=0,0,1))+(IF(J28=0,0,1)))</f>
        <v>#REF!</v>
      </c>
      <c r="M26" s="173" t="e">
        <f>K26/L26</f>
        <v>#REF!</v>
      </c>
      <c r="N26" s="37"/>
      <c r="O26" s="37"/>
      <c r="P26" s="38" t="e">
        <f>IF(M26&lt;0.25,"PROPOSTA VÁLIDA",((IF(J26&gt;N27,"PROPOSTA FORA DOS LIMITES",IF(J26&lt;O27,"PROPOSTA FORA DOS LIMITES","PROPOSTA VÁLIDA")))))</f>
        <v>#REF!</v>
      </c>
      <c r="Q26" s="38" t="e">
        <f t="shared" si="7"/>
        <v>#REF!</v>
      </c>
      <c r="R26" s="185" t="e">
        <f>IF(M26&lt;0.25,AVERAGE(Q26:Q28),((IF(J26&gt;N27,0,IF(J26&lt;O27,0,J26)))+(IF(J27&gt;N27,0,IF(J27&lt;O27,0,J27)))+(IF(J28&gt;N27,0,IF(J28&lt;O27,0,J28))))/(((IF(J26&gt;N27,0,IF(J26&lt;O27,0,1))))+((IF(J27&gt;N27,0,IF(J27&lt;O27,0,1))))+((IF(J28&gt;N27,0,IF(J28&lt;O27,0,1))))))</f>
        <v>#REF!</v>
      </c>
      <c r="S26" s="167" t="str">
        <f>IFERROR(R26*C27,"")</f>
        <v/>
      </c>
    </row>
    <row r="27" spans="1:19" ht="19.899999999999999" customHeight="1" x14ac:dyDescent="0.2">
      <c r="A27" s="248"/>
      <c r="B27" s="251"/>
      <c r="C27" s="17">
        <v>2</v>
      </c>
      <c r="D27" s="10" t="s">
        <v>454</v>
      </c>
      <c r="E27" s="64" t="s">
        <v>485</v>
      </c>
      <c r="F27" s="10" t="s">
        <v>844</v>
      </c>
      <c r="G27" s="106">
        <v>172</v>
      </c>
      <c r="H27" s="20">
        <v>0</v>
      </c>
      <c r="I27" s="20" t="e">
        <f>H27/#REF!</f>
        <v>#REF!</v>
      </c>
      <c r="J27" s="20" t="e">
        <f t="shared" ref="J27:J29" si="10">G27+I27</f>
        <v>#REF!</v>
      </c>
      <c r="K27" s="171"/>
      <c r="L27" s="171"/>
      <c r="M27" s="174"/>
      <c r="N27" s="40" t="e">
        <f>IF(M26&gt;=0.25,L26+K26,"CV&lt;25%")</f>
        <v>#REF!</v>
      </c>
      <c r="O27" s="40" t="e">
        <f>IF(M26&gt;=0.25,L26-K26,"CV&lt;25%")</f>
        <v>#REF!</v>
      </c>
      <c r="P27" s="41" t="e">
        <f>IF(M26&lt;0.25,"PROPOSTA VÁLIDA",((IF(J27&gt;N27,"PROPOSTA FORA DOS LIMITES",IF(J27&lt;O27,"PROPOSTA FORA DOS LIMITES","PROPOSTA VÁLIDA")))))</f>
        <v>#REF!</v>
      </c>
      <c r="Q27" s="41" t="e">
        <f t="shared" si="7"/>
        <v>#REF!</v>
      </c>
      <c r="R27" s="186"/>
      <c r="S27" s="168"/>
    </row>
    <row r="28" spans="1:19" ht="19.899999999999999" customHeight="1" thickBot="1" x14ac:dyDescent="0.25">
      <c r="A28" s="249"/>
      <c r="B28" s="252"/>
      <c r="C28" s="18"/>
      <c r="D28" s="14" t="s">
        <v>846</v>
      </c>
      <c r="E28" s="146" t="s">
        <v>492</v>
      </c>
      <c r="F28" s="10" t="s">
        <v>845</v>
      </c>
      <c r="G28" s="107">
        <v>230.45</v>
      </c>
      <c r="H28" s="43">
        <f>H26</f>
        <v>65.8</v>
      </c>
      <c r="I28" s="43" t="e">
        <f>H28/#REF!</f>
        <v>#REF!</v>
      </c>
      <c r="J28" s="43" t="e">
        <f t="shared" si="10"/>
        <v>#REF!</v>
      </c>
      <c r="K28" s="172"/>
      <c r="L28" s="172"/>
      <c r="M28" s="175"/>
      <c r="N28" s="44"/>
      <c r="O28" s="44"/>
      <c r="P28" s="45" t="e">
        <f>IF(M26&lt;0.25,"PROPOSTA VÁLIDA",((IF(J28&gt;N27,"PROPOSTA FORA DOS LIMITES",IF(J28&lt;O27,"PROPOSTA FORA DOS LIMITES","PROPOSTA VÁLIDA")))))</f>
        <v>#REF!</v>
      </c>
      <c r="Q28" s="45" t="e">
        <f t="shared" si="7"/>
        <v>#REF!</v>
      </c>
      <c r="R28" s="187"/>
      <c r="S28" s="169"/>
    </row>
    <row r="29" spans="1:19" ht="19.899999999999999" customHeight="1" thickTop="1" x14ac:dyDescent="0.2">
      <c r="A29" s="247" t="s">
        <v>462</v>
      </c>
      <c r="B29" s="250" t="s">
        <v>445</v>
      </c>
      <c r="C29" s="9"/>
      <c r="D29" s="36" t="s">
        <v>439</v>
      </c>
      <c r="E29" s="19" t="s">
        <v>484</v>
      </c>
      <c r="F29" s="36" t="s">
        <v>843</v>
      </c>
      <c r="G29" s="105">
        <v>130</v>
      </c>
      <c r="H29" s="21">
        <f>919.7/C30</f>
        <v>45.984999999999999</v>
      </c>
      <c r="I29" s="21">
        <f>H29/C30</f>
        <v>2.2992499999999998</v>
      </c>
      <c r="J29" s="21">
        <f t="shared" si="10"/>
        <v>132.29925</v>
      </c>
      <c r="K29" s="170" t="e">
        <f>_xlfn.STDEV.S(J29:J31)</f>
        <v>#REF!</v>
      </c>
      <c r="L29" s="170" t="e">
        <f>(SUM(J29:J31))/((IF(J29=0,0,1))+(IF(J30=0,0,1))+(IF(J31=0,0,1)))</f>
        <v>#REF!</v>
      </c>
      <c r="M29" s="173" t="e">
        <f>K29/L29</f>
        <v>#REF!</v>
      </c>
      <c r="N29" s="37"/>
      <c r="O29" s="37"/>
      <c r="P29" s="38" t="e">
        <f>IF(M29&lt;0.25,"PROPOSTA VÁLIDA",((IF(J29&gt;N30,"PROPOSTA FORA DOS LIMITES",IF(J29&lt;O30,"PROPOSTA FORA DOS LIMITES","PROPOSTA VÁLIDA")))))</f>
        <v>#REF!</v>
      </c>
      <c r="Q29" s="38" t="e">
        <f t="shared" si="7"/>
        <v>#REF!</v>
      </c>
      <c r="R29" s="185" t="e">
        <f>IF(M29&lt;0.25,AVERAGE(Q29:Q31),((IF(J29&gt;N30,0,IF(J29&lt;O30,0,J29)))+(IF(J30&gt;N30,0,IF(J30&lt;O30,0,J30)))+(IF(J31&gt;N30,0,IF(J31&lt;O30,0,J31))))/(((IF(J29&gt;N30,0,IF(J29&lt;O30,0,1))))+((IF(J30&gt;N30,0,IF(J30&lt;O30,0,1))))+((IF(J31&gt;N30,0,IF(J31&lt;O30,0,1))))))</f>
        <v>#REF!</v>
      </c>
      <c r="S29" s="167" t="str">
        <f>IFERROR(R29*C30,"")</f>
        <v/>
      </c>
    </row>
    <row r="30" spans="1:19" ht="19.899999999999999" customHeight="1" x14ac:dyDescent="0.2">
      <c r="A30" s="248"/>
      <c r="B30" s="251"/>
      <c r="C30" s="17">
        <v>20</v>
      </c>
      <c r="D30" s="10" t="s">
        <v>454</v>
      </c>
      <c r="E30" s="64" t="s">
        <v>485</v>
      </c>
      <c r="F30" s="10" t="s">
        <v>844</v>
      </c>
      <c r="G30" s="106">
        <v>91</v>
      </c>
      <c r="H30" s="20">
        <v>0</v>
      </c>
      <c r="I30" s="20" t="e">
        <f>H30/#REF!</f>
        <v>#REF!</v>
      </c>
      <c r="J30" s="20" t="e">
        <f t="shared" ref="J30:J32" si="11">G30+I30</f>
        <v>#REF!</v>
      </c>
      <c r="K30" s="171"/>
      <c r="L30" s="171"/>
      <c r="M30" s="174"/>
      <c r="N30" s="40" t="e">
        <f>IF(M29&gt;=0.25,L29+K29,"CV&lt;25%")</f>
        <v>#REF!</v>
      </c>
      <c r="O30" s="40" t="e">
        <f>IF(M29&gt;=0.25,L29-K29,"CV&lt;25%")</f>
        <v>#REF!</v>
      </c>
      <c r="P30" s="41" t="e">
        <f>IF(M29&lt;0.25,"PROPOSTA VÁLIDA",((IF(J30&gt;N30,"PROPOSTA FORA DOS LIMITES",IF(J30&lt;O30,"PROPOSTA FORA DOS LIMITES","PROPOSTA VÁLIDA")))))</f>
        <v>#REF!</v>
      </c>
      <c r="Q30" s="41" t="e">
        <f t="shared" si="7"/>
        <v>#REF!</v>
      </c>
      <c r="R30" s="186"/>
      <c r="S30" s="168"/>
    </row>
    <row r="31" spans="1:19" ht="19.899999999999999" customHeight="1" thickBot="1" x14ac:dyDescent="0.25">
      <c r="A31" s="249"/>
      <c r="B31" s="252"/>
      <c r="C31" s="18"/>
      <c r="D31" s="14" t="s">
        <v>846</v>
      </c>
      <c r="E31" s="146" t="s">
        <v>492</v>
      </c>
      <c r="F31" s="10" t="s">
        <v>845</v>
      </c>
      <c r="G31" s="107">
        <v>156.53</v>
      </c>
      <c r="H31" s="43">
        <f>H29</f>
        <v>45.984999999999999</v>
      </c>
      <c r="I31" s="43" t="e">
        <f>H31/#REF!</f>
        <v>#REF!</v>
      </c>
      <c r="J31" s="43" t="e">
        <f t="shared" si="11"/>
        <v>#REF!</v>
      </c>
      <c r="K31" s="172"/>
      <c r="L31" s="172"/>
      <c r="M31" s="175"/>
      <c r="N31" s="44"/>
      <c r="O31" s="44"/>
      <c r="P31" s="45" t="e">
        <f>IF(M29&lt;0.25,"PROPOSTA VÁLIDA",((IF(J31&gt;N30,"PROPOSTA FORA DOS LIMITES",IF(J31&lt;O30,"PROPOSTA FORA DOS LIMITES","PROPOSTA VÁLIDA")))))</f>
        <v>#REF!</v>
      </c>
      <c r="Q31" s="45" t="e">
        <f t="shared" si="7"/>
        <v>#REF!</v>
      </c>
      <c r="R31" s="187"/>
      <c r="S31" s="169"/>
    </row>
    <row r="32" spans="1:19" ht="19.899999999999999" customHeight="1" thickTop="1" x14ac:dyDescent="0.2">
      <c r="A32" s="247" t="s">
        <v>463</v>
      </c>
      <c r="B32" s="250" t="s">
        <v>446</v>
      </c>
      <c r="C32" s="9"/>
      <c r="D32" s="36" t="s">
        <v>439</v>
      </c>
      <c r="E32" s="19" t="s">
        <v>484</v>
      </c>
      <c r="F32" s="36" t="s">
        <v>843</v>
      </c>
      <c r="G32" s="105">
        <v>438</v>
      </c>
      <c r="H32" s="21">
        <f>309.9/C33</f>
        <v>154.94999999999999</v>
      </c>
      <c r="I32" s="21">
        <f>H32/C33</f>
        <v>77.474999999999994</v>
      </c>
      <c r="J32" s="21">
        <f t="shared" si="11"/>
        <v>515.47500000000002</v>
      </c>
      <c r="K32" s="170" t="e">
        <f>_xlfn.STDEV.S(J32:J34)</f>
        <v>#REF!</v>
      </c>
      <c r="L32" s="170" t="e">
        <f>(SUM(J32:J34))/((IF(J32=0,0,1))+(IF(J33=0,0,1))+(IF(J34=0,0,1)))</f>
        <v>#REF!</v>
      </c>
      <c r="M32" s="173" t="e">
        <f>K32/L32</f>
        <v>#REF!</v>
      </c>
      <c r="N32" s="37"/>
      <c r="O32" s="37"/>
      <c r="P32" s="38" t="e">
        <f>IF(M32&lt;0.25,"PROPOSTA VÁLIDA",((IF(J32&gt;N33,"PROPOSTA FORA DOS LIMITES",IF(J32&lt;O33,"PROPOSTA FORA DOS LIMITES","PROPOSTA VÁLIDA")))))</f>
        <v>#REF!</v>
      </c>
      <c r="Q32" s="38" t="e">
        <f t="shared" si="7"/>
        <v>#REF!</v>
      </c>
      <c r="R32" s="185" t="e">
        <f>IF(M32&lt;0.25,AVERAGE(Q32:Q34),((IF(J32&gt;N33,0,IF(J32&lt;O33,0,J32)))+(IF(J33&gt;N33,0,IF(J33&lt;O33,0,J33)))+(IF(J34&gt;N33,0,IF(J34&lt;O33,0,J34))))/(((IF(J32&gt;N33,0,IF(J32&lt;O33,0,1))))+((IF(J33&gt;N33,0,IF(J33&lt;O33,0,1))))+((IF(J34&gt;N33,0,IF(J34&lt;O33,0,1))))))</f>
        <v>#REF!</v>
      </c>
      <c r="S32" s="167" t="str">
        <f>IFERROR(R32*C33,"")</f>
        <v/>
      </c>
    </row>
    <row r="33" spans="1:19" ht="19.899999999999999" customHeight="1" x14ac:dyDescent="0.2">
      <c r="A33" s="248"/>
      <c r="B33" s="251"/>
      <c r="C33" s="17">
        <v>2</v>
      </c>
      <c r="D33" s="10" t="s">
        <v>454</v>
      </c>
      <c r="E33" s="64" t="s">
        <v>485</v>
      </c>
      <c r="F33" s="10" t="s">
        <v>844</v>
      </c>
      <c r="G33" s="106">
        <v>200</v>
      </c>
      <c r="H33" s="20">
        <v>0</v>
      </c>
      <c r="I33" s="20" t="e">
        <f>H33/#REF!</f>
        <v>#REF!</v>
      </c>
      <c r="J33" s="20" t="e">
        <f t="shared" ref="J33:J35" si="12">G33+I33</f>
        <v>#REF!</v>
      </c>
      <c r="K33" s="171"/>
      <c r="L33" s="171"/>
      <c r="M33" s="174"/>
      <c r="N33" s="40" t="e">
        <f>IF(M32&gt;=0.25,L32+K32,"CV&lt;25%")</f>
        <v>#REF!</v>
      </c>
      <c r="O33" s="40" t="e">
        <f>IF(M32&gt;=0.25,L32-K32,"CV&lt;25%")</f>
        <v>#REF!</v>
      </c>
      <c r="P33" s="41" t="e">
        <f>IF(M32&lt;0.25,"PROPOSTA VÁLIDA",((IF(J33&gt;N33,"PROPOSTA FORA DOS LIMITES",IF(J33&lt;O33,"PROPOSTA FORA DOS LIMITES","PROPOSTA VÁLIDA")))))</f>
        <v>#REF!</v>
      </c>
      <c r="Q33" s="41" t="e">
        <f t="shared" si="7"/>
        <v>#REF!</v>
      </c>
      <c r="R33" s="186"/>
      <c r="S33" s="168"/>
    </row>
    <row r="34" spans="1:19" ht="19.899999999999999" customHeight="1" thickBot="1" x14ac:dyDescent="0.25">
      <c r="A34" s="249"/>
      <c r="B34" s="252"/>
      <c r="C34" s="18"/>
      <c r="D34" s="14" t="s">
        <v>846</v>
      </c>
      <c r="E34" s="146" t="s">
        <v>492</v>
      </c>
      <c r="F34" s="10" t="s">
        <v>845</v>
      </c>
      <c r="G34" s="107">
        <v>201.88</v>
      </c>
      <c r="H34" s="43">
        <f>H32</f>
        <v>154.94999999999999</v>
      </c>
      <c r="I34" s="43" t="e">
        <f>H34/#REF!</f>
        <v>#REF!</v>
      </c>
      <c r="J34" s="43" t="e">
        <f t="shared" si="12"/>
        <v>#REF!</v>
      </c>
      <c r="K34" s="172"/>
      <c r="L34" s="172"/>
      <c r="M34" s="175"/>
      <c r="N34" s="44"/>
      <c r="O34" s="44"/>
      <c r="P34" s="45" t="e">
        <f>IF(M32&lt;0.25,"PROPOSTA VÁLIDA",((IF(J34&gt;N33,"PROPOSTA FORA DOS LIMITES",IF(J34&lt;O33,"PROPOSTA FORA DOS LIMITES","PROPOSTA VÁLIDA")))))</f>
        <v>#REF!</v>
      </c>
      <c r="Q34" s="45" t="e">
        <f t="shared" si="7"/>
        <v>#REF!</v>
      </c>
      <c r="R34" s="187"/>
      <c r="S34" s="169"/>
    </row>
    <row r="35" spans="1:19" ht="19.899999999999999" customHeight="1" thickTop="1" x14ac:dyDescent="0.2">
      <c r="A35" s="247" t="s">
        <v>464</v>
      </c>
      <c r="B35" s="250" t="s">
        <v>447</v>
      </c>
      <c r="C35" s="9"/>
      <c r="D35" s="36" t="s">
        <v>439</v>
      </c>
      <c r="E35" s="19" t="s">
        <v>484</v>
      </c>
      <c r="F35" s="36" t="s">
        <v>843</v>
      </c>
      <c r="G35" s="105">
        <v>384</v>
      </c>
      <c r="H35" s="21">
        <f>543.4/C36</f>
        <v>135.85</v>
      </c>
      <c r="I35" s="21">
        <f>H35/C36</f>
        <v>33.962499999999999</v>
      </c>
      <c r="J35" s="21">
        <f t="shared" si="12"/>
        <v>417.96249999999998</v>
      </c>
      <c r="K35" s="170" t="e">
        <f>_xlfn.STDEV.S(J35:J37)</f>
        <v>#REF!</v>
      </c>
      <c r="L35" s="170" t="e">
        <f>(SUM(J35:J37))/((IF(J35=0,0,1))+(IF(J36=0,0,1))+(IF(J37=0,0,1)))</f>
        <v>#REF!</v>
      </c>
      <c r="M35" s="173" t="e">
        <f>K35/L35</f>
        <v>#REF!</v>
      </c>
      <c r="N35" s="37"/>
      <c r="O35" s="37"/>
      <c r="P35" s="38" t="e">
        <f>IF(M35&lt;0.25,"PROPOSTA VÁLIDA",((IF(J35&gt;N36,"PROPOSTA FORA DOS LIMITES",IF(J35&lt;O36,"PROPOSTA FORA DOS LIMITES","PROPOSTA VÁLIDA")))))</f>
        <v>#REF!</v>
      </c>
      <c r="Q35" s="38" t="e">
        <f t="shared" si="7"/>
        <v>#REF!</v>
      </c>
      <c r="R35" s="185" t="e">
        <f>IF(M35&lt;0.25,AVERAGE(Q35:Q37),((IF(J35&gt;N36,0,IF(J35&lt;O36,0,J35)))+(IF(J36&gt;N36,0,IF(J36&lt;O36,0,J36)))+(IF(J37&gt;N36,0,IF(J37&lt;O36,0,J37))))/(((IF(J35&gt;N36,0,IF(J35&lt;O36,0,1))))+((IF(J36&gt;N36,0,IF(J36&lt;O36,0,1))))+((IF(J37&gt;N36,0,IF(J37&lt;O36,0,1))))))</f>
        <v>#REF!</v>
      </c>
      <c r="S35" s="167" t="str">
        <f>IFERROR(R35*C36,"")</f>
        <v/>
      </c>
    </row>
    <row r="36" spans="1:19" ht="19.899999999999999" customHeight="1" x14ac:dyDescent="0.2">
      <c r="A36" s="248"/>
      <c r="B36" s="251"/>
      <c r="C36" s="17">
        <v>4</v>
      </c>
      <c r="D36" s="10" t="s">
        <v>454</v>
      </c>
      <c r="E36" s="64" t="s">
        <v>485</v>
      </c>
      <c r="F36" s="10" t="s">
        <v>455</v>
      </c>
      <c r="G36" s="106">
        <v>148</v>
      </c>
      <c r="H36" s="20">
        <v>0</v>
      </c>
      <c r="I36" s="20" t="e">
        <f>H36/#REF!</f>
        <v>#REF!</v>
      </c>
      <c r="J36" s="20" t="e">
        <f t="shared" ref="J36:J38" si="13">G36+I36</f>
        <v>#REF!</v>
      </c>
      <c r="K36" s="171"/>
      <c r="L36" s="171"/>
      <c r="M36" s="174"/>
      <c r="N36" s="40" t="e">
        <f>IF(M35&gt;=0.25,L35+K35,"CV&lt;25%")</f>
        <v>#REF!</v>
      </c>
      <c r="O36" s="40" t="e">
        <f>IF(M35&gt;=0.25,L35-K35,"CV&lt;25%")</f>
        <v>#REF!</v>
      </c>
      <c r="P36" s="41" t="e">
        <f>IF(M35&lt;0.25,"PROPOSTA VÁLIDA",((IF(J36&gt;N36,"PROPOSTA FORA DOS LIMITES",IF(J36&lt;O36,"PROPOSTA FORA DOS LIMITES","PROPOSTA VÁLIDA")))))</f>
        <v>#REF!</v>
      </c>
      <c r="Q36" s="41" t="e">
        <f t="shared" si="7"/>
        <v>#REF!</v>
      </c>
      <c r="R36" s="186"/>
      <c r="S36" s="168"/>
    </row>
    <row r="37" spans="1:19" ht="19.899999999999999" customHeight="1" thickBot="1" x14ac:dyDescent="0.25">
      <c r="A37" s="249"/>
      <c r="B37" s="252"/>
      <c r="C37" s="18"/>
      <c r="D37" s="14" t="s">
        <v>846</v>
      </c>
      <c r="E37" s="146" t="s">
        <v>492</v>
      </c>
      <c r="F37" s="10" t="s">
        <v>845</v>
      </c>
      <c r="G37" s="107">
        <v>168.36</v>
      </c>
      <c r="H37" s="43">
        <f>H35</f>
        <v>135.85</v>
      </c>
      <c r="I37" s="43" t="e">
        <f>H37/#REF!</f>
        <v>#REF!</v>
      </c>
      <c r="J37" s="43" t="e">
        <f t="shared" si="13"/>
        <v>#REF!</v>
      </c>
      <c r="K37" s="172"/>
      <c r="L37" s="172"/>
      <c r="M37" s="175"/>
      <c r="N37" s="44"/>
      <c r="O37" s="44"/>
      <c r="P37" s="45" t="e">
        <f>IF(M35&lt;0.25,"PROPOSTA VÁLIDA",((IF(J37&gt;N36,"PROPOSTA FORA DOS LIMITES",IF(J37&lt;O36,"PROPOSTA FORA DOS LIMITES","PROPOSTA VÁLIDA")))))</f>
        <v>#REF!</v>
      </c>
      <c r="Q37" s="45" t="e">
        <f t="shared" si="7"/>
        <v>#REF!</v>
      </c>
      <c r="R37" s="187"/>
      <c r="S37" s="169"/>
    </row>
    <row r="38" spans="1:19" ht="19.899999999999999" customHeight="1" thickTop="1" x14ac:dyDescent="0.2">
      <c r="A38" s="247" t="s">
        <v>465</v>
      </c>
      <c r="B38" s="250" t="s">
        <v>448</v>
      </c>
      <c r="C38" s="9"/>
      <c r="D38" s="36" t="s">
        <v>439</v>
      </c>
      <c r="E38" s="19" t="s">
        <v>484</v>
      </c>
      <c r="F38" s="36" t="s">
        <v>843</v>
      </c>
      <c r="G38" s="105">
        <v>342</v>
      </c>
      <c r="H38" s="21">
        <f>483.9/C39</f>
        <v>120.97499999999999</v>
      </c>
      <c r="I38" s="21">
        <f>H38/C39</f>
        <v>30.243749999999999</v>
      </c>
      <c r="J38" s="21">
        <f t="shared" si="13"/>
        <v>372.24374999999998</v>
      </c>
      <c r="K38" s="170" t="e">
        <f>_xlfn.STDEV.S(J38:J40)</f>
        <v>#REF!</v>
      </c>
      <c r="L38" s="170" t="e">
        <f>(SUM(J38:J40))/((IF(J38=0,0,1))+(IF(J39=0,0,1))+(IF(J40=0,0,1)))</f>
        <v>#REF!</v>
      </c>
      <c r="M38" s="173" t="e">
        <f>K38/L38</f>
        <v>#REF!</v>
      </c>
      <c r="N38" s="37"/>
      <c r="O38" s="37"/>
      <c r="P38" s="38" t="e">
        <f>IF(M38&lt;0.25,"PROPOSTA VÁLIDA",((IF(J38&gt;N39,"PROPOSTA FORA DOS LIMITES",IF(J38&lt;O39,"PROPOSTA FORA DOS LIMITES","PROPOSTA VÁLIDA")))))</f>
        <v>#REF!</v>
      </c>
      <c r="Q38" s="38" t="e">
        <f t="shared" si="7"/>
        <v>#REF!</v>
      </c>
      <c r="R38" s="185" t="e">
        <f>IF(M38&lt;0.25,AVERAGE(Q38:Q40),((IF(J38&gt;N39,0,IF(J38&lt;O39,0,J38)))+(IF(J39&gt;N39,0,IF(J39&lt;O39,0,J39)))+(IF(J40&gt;N39,0,IF(J40&lt;O39,0,J40))))/(((IF(J38&gt;N39,0,IF(J38&lt;O39,0,1))))+((IF(J39&gt;N39,0,IF(J39&lt;O39,0,1))))+((IF(J40&gt;N39,0,IF(J40&lt;O39,0,1))))))</f>
        <v>#REF!</v>
      </c>
      <c r="S38" s="167" t="str">
        <f>IFERROR(R38*C39,"")</f>
        <v/>
      </c>
    </row>
    <row r="39" spans="1:19" ht="19.899999999999999" customHeight="1" x14ac:dyDescent="0.2">
      <c r="A39" s="248"/>
      <c r="B39" s="251"/>
      <c r="C39" s="17">
        <v>4</v>
      </c>
      <c r="D39" s="10" t="s">
        <v>454</v>
      </c>
      <c r="E39" s="64" t="s">
        <v>485</v>
      </c>
      <c r="F39" s="10" t="s">
        <v>844</v>
      </c>
      <c r="G39" s="106">
        <v>245</v>
      </c>
      <c r="H39" s="20">
        <v>0</v>
      </c>
      <c r="I39" s="20" t="e">
        <f>H39/#REF!</f>
        <v>#REF!</v>
      </c>
      <c r="J39" s="20" t="e">
        <f t="shared" ref="J39:J41" si="14">G39+I39</f>
        <v>#REF!</v>
      </c>
      <c r="K39" s="171"/>
      <c r="L39" s="171"/>
      <c r="M39" s="174"/>
      <c r="N39" s="40" t="e">
        <f>IF(M38&gt;=0.25,L38+K38,"CV&lt;25%")</f>
        <v>#REF!</v>
      </c>
      <c r="O39" s="40" t="e">
        <f>IF(M38&gt;=0.25,L38-K38,"CV&lt;25%")</f>
        <v>#REF!</v>
      </c>
      <c r="P39" s="41" t="e">
        <f>IF(M38&lt;0.25,"PROPOSTA VÁLIDA",((IF(J39&gt;N39,"PROPOSTA FORA DOS LIMITES",IF(J39&lt;O39,"PROPOSTA FORA DOS LIMITES","PROPOSTA VÁLIDA")))))</f>
        <v>#REF!</v>
      </c>
      <c r="Q39" s="41" t="e">
        <f t="shared" si="7"/>
        <v>#REF!</v>
      </c>
      <c r="R39" s="186"/>
      <c r="S39" s="168"/>
    </row>
    <row r="40" spans="1:19" ht="19.899999999999999" customHeight="1" thickBot="1" x14ac:dyDescent="0.25">
      <c r="A40" s="249"/>
      <c r="B40" s="252"/>
      <c r="C40" s="18"/>
      <c r="D40" s="14" t="s">
        <v>493</v>
      </c>
      <c r="E40" s="146" t="s">
        <v>492</v>
      </c>
      <c r="F40" s="10" t="s">
        <v>845</v>
      </c>
      <c r="G40" s="107">
        <v>238.09</v>
      </c>
      <c r="H40" s="43">
        <f>H38</f>
        <v>120.97499999999999</v>
      </c>
      <c r="I40" s="43" t="e">
        <f>H40/#REF!</f>
        <v>#REF!</v>
      </c>
      <c r="J40" s="43" t="e">
        <f t="shared" si="14"/>
        <v>#REF!</v>
      </c>
      <c r="K40" s="172"/>
      <c r="L40" s="172"/>
      <c r="M40" s="175"/>
      <c r="N40" s="44"/>
      <c r="O40" s="44"/>
      <c r="P40" s="45" t="e">
        <f>IF(M38&lt;0.25,"PROPOSTA VÁLIDA",((IF(J40&gt;N39,"PROPOSTA FORA DOS LIMITES",IF(J40&lt;O39,"PROPOSTA FORA DOS LIMITES","PROPOSTA VÁLIDA")))))</f>
        <v>#REF!</v>
      </c>
      <c r="Q40" s="45" t="e">
        <f t="shared" si="7"/>
        <v>#REF!</v>
      </c>
      <c r="R40" s="187"/>
      <c r="S40" s="169"/>
    </row>
    <row r="41" spans="1:19" ht="19.899999999999999" customHeight="1" thickTop="1" x14ac:dyDescent="0.2">
      <c r="A41" s="247" t="s">
        <v>466</v>
      </c>
      <c r="B41" s="250" t="s">
        <v>449</v>
      </c>
      <c r="C41" s="9"/>
      <c r="D41" s="36" t="s">
        <v>439</v>
      </c>
      <c r="E41" s="19" t="s">
        <v>484</v>
      </c>
      <c r="F41" s="36" t="s">
        <v>843</v>
      </c>
      <c r="G41" s="105">
        <v>623</v>
      </c>
      <c r="H41" s="21">
        <f>440.8/C42</f>
        <v>220.4</v>
      </c>
      <c r="I41" s="21">
        <f>H41/C42</f>
        <v>110.2</v>
      </c>
      <c r="J41" s="21">
        <f t="shared" si="14"/>
        <v>733.2</v>
      </c>
      <c r="K41" s="170" t="e">
        <f>_xlfn.STDEV.S(J41:J43)</f>
        <v>#REF!</v>
      </c>
      <c r="L41" s="170" t="e">
        <f>(SUM(J41:J43))/((IF(J41=0,0,1))+(IF(J42=0,0,1))+(IF(J43=0,0,1)))</f>
        <v>#REF!</v>
      </c>
      <c r="M41" s="173" t="e">
        <f>K41/L41</f>
        <v>#REF!</v>
      </c>
      <c r="N41" s="37"/>
      <c r="O41" s="37"/>
      <c r="P41" s="38" t="e">
        <f>IF(M41&lt;0.25,"PROPOSTA VÁLIDA",((IF(J41&gt;N42,"PROPOSTA FORA DOS LIMITES",IF(J41&lt;O42,"PROPOSTA FORA DOS LIMITES","PROPOSTA VÁLIDA")))))</f>
        <v>#REF!</v>
      </c>
      <c r="Q41" s="38" t="e">
        <f t="shared" si="7"/>
        <v>#REF!</v>
      </c>
      <c r="R41" s="185" t="e">
        <f>IF(M41&lt;0.25,AVERAGE(Q41:Q43),((IF(J41&gt;N42,0,IF(J41&lt;O42,0,J41)))+(IF(J42&gt;N42,0,IF(J42&lt;O42,0,J42)))+(IF(J43&gt;N42,0,IF(J43&lt;O42,0,J43))))/(((IF(J41&gt;N42,0,IF(J41&lt;O42,0,1))))+((IF(J42&gt;N42,0,IF(J42&lt;O42,0,1))))+((IF(J43&gt;N42,0,IF(J43&lt;O42,0,1))))))</f>
        <v>#REF!</v>
      </c>
      <c r="S41" s="167" t="str">
        <f>IFERROR(R41*C42,"")</f>
        <v/>
      </c>
    </row>
    <row r="42" spans="1:19" ht="19.899999999999999" customHeight="1" x14ac:dyDescent="0.2">
      <c r="A42" s="248"/>
      <c r="B42" s="251"/>
      <c r="C42" s="17">
        <v>2</v>
      </c>
      <c r="D42" s="10" t="s">
        <v>454</v>
      </c>
      <c r="E42" s="64" t="s">
        <v>485</v>
      </c>
      <c r="F42" s="10" t="s">
        <v>844</v>
      </c>
      <c r="G42" s="106">
        <v>343</v>
      </c>
      <c r="H42" s="20">
        <v>0</v>
      </c>
      <c r="I42" s="20" t="e">
        <f>H42/#REF!</f>
        <v>#REF!</v>
      </c>
      <c r="J42" s="20" t="e">
        <f t="shared" ref="J42:J44" si="15">G42+I42</f>
        <v>#REF!</v>
      </c>
      <c r="K42" s="171"/>
      <c r="L42" s="171"/>
      <c r="M42" s="174"/>
      <c r="N42" s="40" t="e">
        <f>IF(M41&gt;=0.25,L41+K41,"CV&lt;25%")</f>
        <v>#REF!</v>
      </c>
      <c r="O42" s="40" t="e">
        <f>IF(M41&gt;=0.25,L41-K41,"CV&lt;25%")</f>
        <v>#REF!</v>
      </c>
      <c r="P42" s="41" t="e">
        <f>IF(M41&lt;0.25,"PROPOSTA VÁLIDA",((IF(J42&gt;N42,"PROPOSTA FORA DOS LIMITES",IF(J42&lt;O42,"PROPOSTA FORA DOS LIMITES","PROPOSTA VÁLIDA")))))</f>
        <v>#REF!</v>
      </c>
      <c r="Q42" s="41" t="e">
        <f t="shared" si="7"/>
        <v>#REF!</v>
      </c>
      <c r="R42" s="186"/>
      <c r="S42" s="168"/>
    </row>
    <row r="43" spans="1:19" ht="19.899999999999999" customHeight="1" thickBot="1" x14ac:dyDescent="0.25">
      <c r="A43" s="249"/>
      <c r="B43" s="252"/>
      <c r="C43" s="18"/>
      <c r="D43" s="14" t="s">
        <v>493</v>
      </c>
      <c r="E43" s="146" t="s">
        <v>492</v>
      </c>
      <c r="F43" s="10" t="s">
        <v>845</v>
      </c>
      <c r="G43" s="107">
        <v>297.33</v>
      </c>
      <c r="H43" s="43">
        <f>H41</f>
        <v>220.4</v>
      </c>
      <c r="I43" s="43" t="e">
        <f>H43/#REF!</f>
        <v>#REF!</v>
      </c>
      <c r="J43" s="43" t="e">
        <f t="shared" si="15"/>
        <v>#REF!</v>
      </c>
      <c r="K43" s="172"/>
      <c r="L43" s="172"/>
      <c r="M43" s="175"/>
      <c r="N43" s="44"/>
      <c r="O43" s="44"/>
      <c r="P43" s="45" t="e">
        <f>IF(M41&lt;0.25,"PROPOSTA VÁLIDA",((IF(J43&gt;N42,"PROPOSTA FORA DOS LIMITES",IF(J43&lt;O42,"PROPOSTA FORA DOS LIMITES","PROPOSTA VÁLIDA")))))</f>
        <v>#REF!</v>
      </c>
      <c r="Q43" s="45" t="e">
        <f t="shared" si="7"/>
        <v>#REF!</v>
      </c>
      <c r="R43" s="187"/>
      <c r="S43" s="169"/>
    </row>
    <row r="44" spans="1:19" ht="19.899999999999999" customHeight="1" thickTop="1" x14ac:dyDescent="0.2">
      <c r="A44" s="247" t="s">
        <v>467</v>
      </c>
      <c r="B44" s="250" t="s">
        <v>450</v>
      </c>
      <c r="C44" s="9"/>
      <c r="D44" s="36" t="s">
        <v>439</v>
      </c>
      <c r="E44" s="19" t="s">
        <v>484</v>
      </c>
      <c r="F44" s="36" t="s">
        <v>453</v>
      </c>
      <c r="G44" s="105">
        <v>282</v>
      </c>
      <c r="H44" s="21">
        <v>99.8</v>
      </c>
      <c r="I44" s="21">
        <f>H44/C45</f>
        <v>99.8</v>
      </c>
      <c r="J44" s="21">
        <f t="shared" si="15"/>
        <v>381.8</v>
      </c>
      <c r="K44" s="170" t="e">
        <f>_xlfn.STDEV.S(J44:J46)</f>
        <v>#REF!</v>
      </c>
      <c r="L44" s="170" t="e">
        <f>(SUM(J44:J46))/((IF(J44=0,0,1))+(IF(J45=0,0,1))+(IF(J46=0,0,1)))</f>
        <v>#REF!</v>
      </c>
      <c r="M44" s="173" t="e">
        <f>K44/L44</f>
        <v>#REF!</v>
      </c>
      <c r="N44" s="37"/>
      <c r="O44" s="37"/>
      <c r="P44" s="38" t="e">
        <f>IF(M44&lt;0.25,"PROPOSTA VÁLIDA",((IF(J44&gt;N45,"PROPOSTA FORA DOS LIMITES",IF(J44&lt;O45,"PROPOSTA FORA DOS LIMITES","PROPOSTA VÁLIDA")))))</f>
        <v>#REF!</v>
      </c>
      <c r="Q44" s="38" t="e">
        <f t="shared" si="7"/>
        <v>#REF!</v>
      </c>
      <c r="R44" s="185" t="e">
        <f>IF(M44&lt;0.25,AVERAGE(Q44:Q46),((IF(J44&gt;N45,0,IF(J44&lt;O45,0,J44)))+(IF(J45&gt;N45,0,IF(J45&lt;O45,0,J45)))+(IF(J46&gt;N45,0,IF(J46&lt;O45,0,J46))))/(((IF(J44&gt;N45,0,IF(J44&lt;O45,0,1))))+((IF(J45&gt;N45,0,IF(J45&lt;O45,0,1))))+((IF(J46&gt;N45,0,IF(J46&lt;O45,0,1))))))</f>
        <v>#REF!</v>
      </c>
      <c r="S44" s="167" t="str">
        <f>IFERROR(R44*C45,"")</f>
        <v/>
      </c>
    </row>
    <row r="45" spans="1:19" ht="19.899999999999999" customHeight="1" x14ac:dyDescent="0.2">
      <c r="A45" s="248"/>
      <c r="B45" s="251"/>
      <c r="C45" s="17">
        <v>1</v>
      </c>
      <c r="D45" s="10" t="s">
        <v>454</v>
      </c>
      <c r="E45" s="64" t="s">
        <v>485</v>
      </c>
      <c r="F45" s="10" t="s">
        <v>844</v>
      </c>
      <c r="G45" s="106">
        <v>113</v>
      </c>
      <c r="H45" s="20">
        <v>0</v>
      </c>
      <c r="I45" s="20" t="e">
        <f>H45/#REF!</f>
        <v>#REF!</v>
      </c>
      <c r="J45" s="20" t="e">
        <f t="shared" ref="J45:J47" si="16">G45+I45</f>
        <v>#REF!</v>
      </c>
      <c r="K45" s="171"/>
      <c r="L45" s="171"/>
      <c r="M45" s="174"/>
      <c r="N45" s="40" t="e">
        <f>IF(M44&gt;=0.25,L44+K44,"CV&lt;25%")</f>
        <v>#REF!</v>
      </c>
      <c r="O45" s="40" t="e">
        <f>IF(M44&gt;=0.25,L44-K44,"CV&lt;25%")</f>
        <v>#REF!</v>
      </c>
      <c r="P45" s="41" t="e">
        <f>IF(M44&lt;0.25,"PROPOSTA VÁLIDA",((IF(J45&gt;N45,"PROPOSTA FORA DOS LIMITES",IF(J45&lt;O45,"PROPOSTA FORA DOS LIMITES","PROPOSTA VÁLIDA")))))</f>
        <v>#REF!</v>
      </c>
      <c r="Q45" s="41" t="e">
        <f t="shared" si="7"/>
        <v>#REF!</v>
      </c>
      <c r="R45" s="186"/>
      <c r="S45" s="168"/>
    </row>
    <row r="46" spans="1:19" ht="19.899999999999999" customHeight="1" thickBot="1" x14ac:dyDescent="0.25">
      <c r="A46" s="249"/>
      <c r="B46" s="252"/>
      <c r="C46" s="18"/>
      <c r="D46" s="14" t="s">
        <v>493</v>
      </c>
      <c r="E46" s="146" t="s">
        <v>492</v>
      </c>
      <c r="F46" s="10" t="s">
        <v>845</v>
      </c>
      <c r="G46" s="107">
        <v>139.63</v>
      </c>
      <c r="H46" s="43">
        <f>H44</f>
        <v>99.8</v>
      </c>
      <c r="I46" s="43" t="e">
        <f>H46/#REF!</f>
        <v>#REF!</v>
      </c>
      <c r="J46" s="43" t="e">
        <f t="shared" si="16"/>
        <v>#REF!</v>
      </c>
      <c r="K46" s="172"/>
      <c r="L46" s="172"/>
      <c r="M46" s="175"/>
      <c r="N46" s="44"/>
      <c r="O46" s="44"/>
      <c r="P46" s="45" t="e">
        <f>IF(M44&lt;0.25,"PROPOSTA VÁLIDA",((IF(J46&gt;N45,"PROPOSTA FORA DOS LIMITES",IF(J46&lt;O45,"PROPOSTA FORA DOS LIMITES","PROPOSTA VÁLIDA")))))</f>
        <v>#REF!</v>
      </c>
      <c r="Q46" s="45" t="e">
        <f t="shared" si="7"/>
        <v>#REF!</v>
      </c>
      <c r="R46" s="187"/>
      <c r="S46" s="169"/>
    </row>
    <row r="47" spans="1:19" ht="19.899999999999999" customHeight="1" thickTop="1" x14ac:dyDescent="0.2">
      <c r="A47" s="247" t="s">
        <v>468</v>
      </c>
      <c r="B47" s="250" t="s">
        <v>451</v>
      </c>
      <c r="C47" s="9"/>
      <c r="D47" s="36" t="s">
        <v>439</v>
      </c>
      <c r="E47" s="19" t="s">
        <v>484</v>
      </c>
      <c r="F47" s="36" t="s">
        <v>843</v>
      </c>
      <c r="G47" s="105">
        <v>1203</v>
      </c>
      <c r="H47" s="21">
        <f>851.1</f>
        <v>851.1</v>
      </c>
      <c r="I47" s="21">
        <f>H47/C48</f>
        <v>851.1</v>
      </c>
      <c r="J47" s="21">
        <f t="shared" si="16"/>
        <v>2054.1</v>
      </c>
      <c r="K47" s="170" t="e">
        <f>_xlfn.STDEV.S(J47:J49)</f>
        <v>#REF!</v>
      </c>
      <c r="L47" s="170" t="e">
        <f>(SUM(J47:J49))/((IF(J47=0,0,1))+(IF(J48=0,0,1))+(IF(J49=0,0,1)))</f>
        <v>#REF!</v>
      </c>
      <c r="M47" s="173" t="e">
        <f>K47/L47</f>
        <v>#REF!</v>
      </c>
      <c r="N47" s="37"/>
      <c r="O47" s="37"/>
      <c r="P47" s="38" t="e">
        <f>IF(M47&lt;0.25,"PROPOSTA VÁLIDA",((IF(J47&gt;N48,"PROPOSTA FORA DOS LIMITES",IF(J47&lt;O48,"PROPOSTA FORA DOS LIMITES","PROPOSTA VÁLIDA")))))</f>
        <v>#REF!</v>
      </c>
      <c r="Q47" s="38" t="e">
        <f t="shared" si="7"/>
        <v>#REF!</v>
      </c>
      <c r="R47" s="185" t="e">
        <f>IF(M47&lt;0.25,AVERAGE(Q47:Q49),((IF(J47&gt;N48,0,IF(J47&lt;O48,0,J47)))+(IF(J48&gt;N48,0,IF(J48&lt;O48,0,J48)))+(IF(J49&gt;N48,0,IF(J49&lt;O48,0,J49))))/(((IF(J47&gt;N48,0,IF(J47&lt;O48,0,1))))+((IF(J48&gt;N48,0,IF(J48&lt;O48,0,1))))+((IF(J49&gt;N48,0,IF(J49&lt;O48,0,1))))))</f>
        <v>#REF!</v>
      </c>
      <c r="S47" s="167" t="str">
        <f>IFERROR(R47*C48,"")</f>
        <v/>
      </c>
    </row>
    <row r="48" spans="1:19" ht="19.899999999999999" customHeight="1" x14ac:dyDescent="0.2">
      <c r="A48" s="248"/>
      <c r="B48" s="251"/>
      <c r="C48" s="17">
        <v>1</v>
      </c>
      <c r="D48" s="10" t="s">
        <v>454</v>
      </c>
      <c r="E48" s="64" t="s">
        <v>485</v>
      </c>
      <c r="F48" s="10" t="s">
        <v>455</v>
      </c>
      <c r="G48" s="106">
        <v>733</v>
      </c>
      <c r="H48" s="20">
        <v>0</v>
      </c>
      <c r="I48" s="20" t="e">
        <f>H48/#REF!</f>
        <v>#REF!</v>
      </c>
      <c r="J48" s="20" t="e">
        <f t="shared" ref="J48:J50" si="17">G48+I48</f>
        <v>#REF!</v>
      </c>
      <c r="K48" s="171"/>
      <c r="L48" s="171"/>
      <c r="M48" s="174"/>
      <c r="N48" s="40" t="e">
        <f>IF(M47&gt;=0.25,L47+K47,"CV&lt;25%")</f>
        <v>#REF!</v>
      </c>
      <c r="O48" s="40" t="e">
        <f>IF(M47&gt;=0.25,L47-K47,"CV&lt;25%")</f>
        <v>#REF!</v>
      </c>
      <c r="P48" s="41" t="e">
        <f>IF(M47&lt;0.25,"PROPOSTA VÁLIDA",((IF(J48&gt;N48,"PROPOSTA FORA DOS LIMITES",IF(J48&lt;O48,"PROPOSTA FORA DOS LIMITES","PROPOSTA VÁLIDA")))))</f>
        <v>#REF!</v>
      </c>
      <c r="Q48" s="41" t="e">
        <f t="shared" si="7"/>
        <v>#REF!</v>
      </c>
      <c r="R48" s="186"/>
      <c r="S48" s="168"/>
    </row>
    <row r="49" spans="1:19" ht="19.899999999999999" customHeight="1" thickBot="1" x14ac:dyDescent="0.25">
      <c r="A49" s="249"/>
      <c r="B49" s="252"/>
      <c r="C49" s="18"/>
      <c r="D49" s="14" t="s">
        <v>493</v>
      </c>
      <c r="E49" s="146" t="s">
        <v>492</v>
      </c>
      <c r="F49" s="10" t="s">
        <v>845</v>
      </c>
      <c r="G49" s="107">
        <v>913.5</v>
      </c>
      <c r="H49" s="43">
        <f>H47</f>
        <v>851.1</v>
      </c>
      <c r="I49" s="43" t="e">
        <f>H49/#REF!</f>
        <v>#REF!</v>
      </c>
      <c r="J49" s="43" t="e">
        <f t="shared" si="17"/>
        <v>#REF!</v>
      </c>
      <c r="K49" s="172"/>
      <c r="L49" s="172"/>
      <c r="M49" s="175"/>
      <c r="N49" s="44"/>
      <c r="O49" s="44"/>
      <c r="P49" s="45" t="e">
        <f>IF(M47&lt;0.25,"PROPOSTA VÁLIDA",((IF(J49&gt;N48,"PROPOSTA FORA DOS LIMITES",IF(J49&lt;O48,"PROPOSTA FORA DOS LIMITES","PROPOSTA VÁLIDA")))))</f>
        <v>#REF!</v>
      </c>
      <c r="Q49" s="45" t="e">
        <f t="shared" si="7"/>
        <v>#REF!</v>
      </c>
      <c r="R49" s="187"/>
      <c r="S49" s="169"/>
    </row>
    <row r="50" spans="1:19" ht="19.899999999999999" customHeight="1" thickTop="1" x14ac:dyDescent="0.2">
      <c r="A50" s="247" t="s">
        <v>469</v>
      </c>
      <c r="B50" s="250" t="s">
        <v>452</v>
      </c>
      <c r="C50" s="9"/>
      <c r="D50" s="36" t="s">
        <v>439</v>
      </c>
      <c r="E50" s="19" t="s">
        <v>484</v>
      </c>
      <c r="F50" s="36" t="s">
        <v>843</v>
      </c>
      <c r="G50" s="105">
        <v>618</v>
      </c>
      <c r="H50" s="21">
        <f>437.2/C51</f>
        <v>218.6</v>
      </c>
      <c r="I50" s="21">
        <f>H50/C51</f>
        <v>109.3</v>
      </c>
      <c r="J50" s="21">
        <f t="shared" si="17"/>
        <v>727.3</v>
      </c>
      <c r="K50" s="170" t="e">
        <f>_xlfn.STDEV.S(J50:J52)</f>
        <v>#REF!</v>
      </c>
      <c r="L50" s="170" t="e">
        <f>(SUM(J50:J52))/((IF(J50=0,0,1))+(IF(J51=0,0,1))+(IF(J52=0,0,1)))</f>
        <v>#REF!</v>
      </c>
      <c r="M50" s="173" t="e">
        <f>K50/L50</f>
        <v>#REF!</v>
      </c>
      <c r="N50" s="37"/>
      <c r="O50" s="37"/>
      <c r="P50" s="38" t="e">
        <f>IF(M50&lt;0.25,"PROPOSTA VÁLIDA",((IF(J50&gt;N51,"PROPOSTA FORA DOS LIMITES",IF(J50&lt;O51,"PROPOSTA FORA DOS LIMITES","PROPOSTA VÁLIDA")))))</f>
        <v>#REF!</v>
      </c>
      <c r="Q50" s="38" t="e">
        <f t="shared" si="7"/>
        <v>#REF!</v>
      </c>
      <c r="R50" s="185" t="e">
        <f>IF(M50&lt;0.25,AVERAGE(Q50:Q52),((IF(J50&gt;N51,0,IF(J50&lt;O51,0,J50)))+(IF(J51&gt;N51,0,IF(J51&lt;O51,0,J51)))+(IF(J52&gt;N51,0,IF(J52&lt;O51,0,J52))))/(((IF(J50&gt;N51,0,IF(J50&lt;O51,0,1))))+((IF(J51&gt;N51,0,IF(J51&lt;O51,0,1))))+((IF(J52&gt;N51,0,IF(J52&lt;O51,0,1))))))</f>
        <v>#REF!</v>
      </c>
      <c r="S50" s="167" t="str">
        <f>IFERROR(R50*C51,"")</f>
        <v/>
      </c>
    </row>
    <row r="51" spans="1:19" ht="19.899999999999999" customHeight="1" x14ac:dyDescent="0.2">
      <c r="A51" s="248"/>
      <c r="B51" s="251"/>
      <c r="C51" s="17">
        <v>2</v>
      </c>
      <c r="D51" s="10" t="s">
        <v>454</v>
      </c>
      <c r="E51" s="64" t="s">
        <v>485</v>
      </c>
      <c r="F51" s="10" t="s">
        <v>844</v>
      </c>
      <c r="G51" s="106">
        <v>365</v>
      </c>
      <c r="H51" s="20">
        <v>0</v>
      </c>
      <c r="I51" s="20" t="e">
        <f>H51/#REF!</f>
        <v>#REF!</v>
      </c>
      <c r="J51" s="20" t="e">
        <f t="shared" ref="J51:J52" si="18">G51+I51</f>
        <v>#REF!</v>
      </c>
      <c r="K51" s="171"/>
      <c r="L51" s="171"/>
      <c r="M51" s="174"/>
      <c r="N51" s="40" t="e">
        <f>IF(M50&gt;=0.25,L50+K50,"CV&lt;25%")</f>
        <v>#REF!</v>
      </c>
      <c r="O51" s="40" t="e">
        <f>IF(M50&gt;=0.25,L50-K50,"CV&lt;25%")</f>
        <v>#REF!</v>
      </c>
      <c r="P51" s="41" t="e">
        <f>IF(M50&lt;0.25,"PROPOSTA VÁLIDA",((IF(J51&gt;N51,"PROPOSTA FORA DOS LIMITES",IF(J51&lt;O51,"PROPOSTA FORA DOS LIMITES","PROPOSTA VÁLIDA")))))</f>
        <v>#REF!</v>
      </c>
      <c r="Q51" s="41" t="e">
        <f t="shared" ref="Q51:Q61" si="19">(IF(P51="PROPOSTA VÁLIDA",J51,0))</f>
        <v>#REF!</v>
      </c>
      <c r="R51" s="186"/>
      <c r="S51" s="168"/>
    </row>
    <row r="52" spans="1:19" ht="19.899999999999999" customHeight="1" thickBot="1" x14ac:dyDescent="0.25">
      <c r="A52" s="249"/>
      <c r="B52" s="252"/>
      <c r="C52" s="18"/>
      <c r="D52" s="14" t="s">
        <v>493</v>
      </c>
      <c r="E52" s="146" t="s">
        <v>492</v>
      </c>
      <c r="F52" s="10" t="s">
        <v>845</v>
      </c>
      <c r="G52" s="107">
        <v>612.73</v>
      </c>
      <c r="H52" s="43">
        <f>H50</f>
        <v>218.6</v>
      </c>
      <c r="I52" s="43" t="e">
        <f>H52/#REF!</f>
        <v>#REF!</v>
      </c>
      <c r="J52" s="43" t="e">
        <f t="shared" si="18"/>
        <v>#REF!</v>
      </c>
      <c r="K52" s="172"/>
      <c r="L52" s="172"/>
      <c r="M52" s="175"/>
      <c r="N52" s="44"/>
      <c r="O52" s="44"/>
      <c r="P52" s="45" t="e">
        <f>IF(M50&lt;0.25,"PROPOSTA VÁLIDA",((IF(J52&gt;N51,"PROPOSTA FORA DOS LIMITES",IF(J52&lt;O51,"PROPOSTA FORA DOS LIMITES","PROPOSTA VÁLIDA")))))</f>
        <v>#REF!</v>
      </c>
      <c r="Q52" s="45" t="e">
        <f t="shared" si="19"/>
        <v>#REF!</v>
      </c>
      <c r="R52" s="187"/>
      <c r="S52" s="169"/>
    </row>
    <row r="53" spans="1:19" ht="19.899999999999999" customHeight="1" thickTop="1" x14ac:dyDescent="0.2">
      <c r="A53" s="247" t="s">
        <v>470</v>
      </c>
      <c r="B53" s="250" t="s">
        <v>601</v>
      </c>
      <c r="C53" s="9"/>
      <c r="D53" s="36" t="s">
        <v>454</v>
      </c>
      <c r="E53" s="39" t="s">
        <v>485</v>
      </c>
      <c r="F53" s="36" t="s">
        <v>827</v>
      </c>
      <c r="G53" s="142">
        <v>6954</v>
      </c>
      <c r="H53" s="21">
        <v>0</v>
      </c>
      <c r="I53" s="21">
        <f>H53/C54</f>
        <v>0</v>
      </c>
      <c r="J53" s="21">
        <f t="shared" ref="J53:J61" si="20">G53+I53</f>
        <v>6954</v>
      </c>
      <c r="K53" s="170" t="e">
        <f>_xlfn.STDEV.S(J53:J55)</f>
        <v>#REF!</v>
      </c>
      <c r="L53" s="170" t="e">
        <f>(SUM(J53:J55))/((IF(J53=0,0,1))+(IF(J54=0,0,1))+(IF(J55=0,0,1)))</f>
        <v>#REF!</v>
      </c>
      <c r="M53" s="173" t="e">
        <f>K53/L53</f>
        <v>#REF!</v>
      </c>
      <c r="N53" s="37"/>
      <c r="O53" s="37"/>
      <c r="P53" s="38" t="e">
        <f>IF(M53&lt;0.25,"PROPOSTA VÁLIDA",((IF(J53&gt;N54,"PROPOSTA FORA DOS LIMITES",IF(J53&lt;O54,"PROPOSTA FORA DOS LIMITES","PROPOSTA VÁLIDA")))))</f>
        <v>#REF!</v>
      </c>
      <c r="Q53" s="38" t="e">
        <f t="shared" si="19"/>
        <v>#REF!</v>
      </c>
      <c r="R53" s="185" t="e">
        <f>IF(M53&lt;0.25,AVERAGE(Q53:Q55),((IF(J53&gt;N54,0,IF(J53&lt;O54,0,J53)))+(IF(J54&gt;N54,0,IF(J54&lt;O54,0,J54)))+(IF(J55&gt;N54,0,IF(J55&lt;O54,0,J55))))/(((IF(J53&gt;N54,0,IF(J53&lt;O54,0,1))))+((IF(J54&gt;N54,0,IF(J54&lt;O54,0,1))))+((IF(J55&gt;N54,0,IF(J55&lt;O54,0,1))))))</f>
        <v>#REF!</v>
      </c>
      <c r="S53" s="167" t="str">
        <f>IFERROR(R53*C54,"")</f>
        <v/>
      </c>
    </row>
    <row r="54" spans="1:19" ht="19.899999999999999" customHeight="1" x14ac:dyDescent="0.2">
      <c r="A54" s="248"/>
      <c r="B54" s="251"/>
      <c r="C54" s="17">
        <v>1</v>
      </c>
      <c r="D54" s="129" t="s">
        <v>811</v>
      </c>
      <c r="E54" s="39"/>
      <c r="F54" s="64" t="s">
        <v>840</v>
      </c>
      <c r="G54" s="143">
        <v>6750</v>
      </c>
      <c r="H54" s="20">
        <v>0</v>
      </c>
      <c r="I54" s="20" t="e">
        <f>H54/#REF!</f>
        <v>#REF!</v>
      </c>
      <c r="J54" s="20" t="e">
        <f t="shared" si="20"/>
        <v>#REF!</v>
      </c>
      <c r="K54" s="171"/>
      <c r="L54" s="171"/>
      <c r="M54" s="174"/>
      <c r="N54" s="40" t="e">
        <f>IF(M53&gt;=0.25,L53+K53,"CV&lt;25%")</f>
        <v>#REF!</v>
      </c>
      <c r="O54" s="40" t="e">
        <f>IF(M53&gt;=0.25,L53-K53,"CV&lt;25%")</f>
        <v>#REF!</v>
      </c>
      <c r="P54" s="41" t="e">
        <f>IF(M53&lt;0.25,"PROPOSTA VÁLIDA",((IF(J54&gt;N54,"PROPOSTA FORA DOS LIMITES",IF(J54&lt;O54,"PROPOSTA FORA DOS LIMITES","PROPOSTA VÁLIDA")))))</f>
        <v>#REF!</v>
      </c>
      <c r="Q54" s="41" t="e">
        <f t="shared" si="19"/>
        <v>#REF!</v>
      </c>
      <c r="R54" s="186"/>
      <c r="S54" s="168"/>
    </row>
    <row r="55" spans="1:19" ht="19.899999999999999" customHeight="1" thickBot="1" x14ac:dyDescent="0.25">
      <c r="A55" s="249"/>
      <c r="B55" s="252"/>
      <c r="C55" s="18"/>
      <c r="D55" s="14" t="s">
        <v>812</v>
      </c>
      <c r="E55" s="42" t="s">
        <v>813</v>
      </c>
      <c r="F55" s="138" t="s">
        <v>814</v>
      </c>
      <c r="G55" s="144">
        <v>8605.65</v>
      </c>
      <c r="H55" s="43">
        <v>0</v>
      </c>
      <c r="I55" s="43" t="e">
        <f>H55/#REF!</f>
        <v>#REF!</v>
      </c>
      <c r="J55" s="43" t="e">
        <f t="shared" si="20"/>
        <v>#REF!</v>
      </c>
      <c r="K55" s="172"/>
      <c r="L55" s="172"/>
      <c r="M55" s="175"/>
      <c r="N55" s="44"/>
      <c r="O55" s="44"/>
      <c r="P55" s="45" t="e">
        <f>IF(M53&lt;0.25,"PROPOSTA VÁLIDA",((IF(J55&gt;N54,"PROPOSTA FORA DOS LIMITES",IF(J55&lt;O54,"PROPOSTA FORA DOS LIMITES","PROPOSTA VÁLIDA")))))</f>
        <v>#REF!</v>
      </c>
      <c r="Q55" s="45" t="e">
        <f t="shared" si="19"/>
        <v>#REF!</v>
      </c>
      <c r="R55" s="187"/>
      <c r="S55" s="169"/>
    </row>
    <row r="56" spans="1:19" ht="19.899999999999999" customHeight="1" thickTop="1" x14ac:dyDescent="0.2">
      <c r="A56" s="247" t="s">
        <v>471</v>
      </c>
      <c r="B56" s="250" t="s">
        <v>602</v>
      </c>
      <c r="C56" s="9"/>
      <c r="D56" s="36" t="s">
        <v>454</v>
      </c>
      <c r="E56" s="39" t="s">
        <v>485</v>
      </c>
      <c r="F56" s="36" t="s">
        <v>828</v>
      </c>
      <c r="G56" s="142">
        <v>6954</v>
      </c>
      <c r="H56" s="21">
        <v>0</v>
      </c>
      <c r="I56" s="21">
        <f>H56/C57</f>
        <v>0</v>
      </c>
      <c r="J56" s="21">
        <f t="shared" si="20"/>
        <v>6954</v>
      </c>
      <c r="K56" s="170" t="e">
        <f>_xlfn.STDEV.S(J56:J58)</f>
        <v>#REF!</v>
      </c>
      <c r="L56" s="170" t="e">
        <f>(SUM(J56:J58))/((IF(J56=0,0,1))+(IF(J57=0,0,1))+(IF(J58=0,0,1)))</f>
        <v>#REF!</v>
      </c>
      <c r="M56" s="173" t="e">
        <f>K56/L56</f>
        <v>#REF!</v>
      </c>
      <c r="N56" s="37"/>
      <c r="O56" s="37"/>
      <c r="P56" s="38" t="e">
        <f>IF(M56&lt;0.25,"PROPOSTA VÁLIDA",((IF(J56&gt;N57,"PROPOSTA FORA DOS LIMITES",IF(J56&lt;O57,"PROPOSTA FORA DOS LIMITES","PROPOSTA VÁLIDA")))))</f>
        <v>#REF!</v>
      </c>
      <c r="Q56" s="38" t="e">
        <f t="shared" si="19"/>
        <v>#REF!</v>
      </c>
      <c r="R56" s="185" t="e">
        <f>IF(M56&lt;0.25,AVERAGE(Q56:Q58),((IF(J56&gt;N57,0,IF(J56&lt;O57,0,J56)))+(IF(J57&gt;N57,0,IF(J57&lt;O57,0,J57)))+(IF(J58&gt;N57,0,IF(J58&lt;O57,0,J58))))/(((IF(J56&gt;N57,0,IF(J56&lt;O57,0,1))))+((IF(J57&gt;N57,0,IF(J57&lt;O57,0,1))))+((IF(J58&gt;N57,0,IF(J58&lt;O57,0,1))))))</f>
        <v>#REF!</v>
      </c>
      <c r="S56" s="167" t="str">
        <f>IFERROR(R56*C57,"")</f>
        <v/>
      </c>
    </row>
    <row r="57" spans="1:19" ht="19.899999999999999" customHeight="1" x14ac:dyDescent="0.2">
      <c r="A57" s="248"/>
      <c r="B57" s="251"/>
      <c r="C57" s="17">
        <v>1</v>
      </c>
      <c r="D57" s="129" t="s">
        <v>811</v>
      </c>
      <c r="E57" s="39"/>
      <c r="F57" s="64" t="s">
        <v>840</v>
      </c>
      <c r="G57" s="143">
        <v>6750</v>
      </c>
      <c r="H57" s="20">
        <v>0</v>
      </c>
      <c r="I57" s="20" t="e">
        <f>H57/#REF!</f>
        <v>#REF!</v>
      </c>
      <c r="J57" s="20" t="e">
        <f t="shared" si="20"/>
        <v>#REF!</v>
      </c>
      <c r="K57" s="171"/>
      <c r="L57" s="171"/>
      <c r="M57" s="174"/>
      <c r="N57" s="40" t="e">
        <f>IF(M56&gt;=0.25,L56+K56,"CV&lt;25%")</f>
        <v>#REF!</v>
      </c>
      <c r="O57" s="40" t="e">
        <f>IF(M56&gt;=0.25,L56-K56,"CV&lt;25%")</f>
        <v>#REF!</v>
      </c>
      <c r="P57" s="41" t="e">
        <f>IF(M56&lt;0.25,"PROPOSTA VÁLIDA",((IF(J57&gt;N57,"PROPOSTA FORA DOS LIMITES",IF(J57&lt;O57,"PROPOSTA FORA DOS LIMITES","PROPOSTA VÁLIDA")))))</f>
        <v>#REF!</v>
      </c>
      <c r="Q57" s="41" t="e">
        <f t="shared" si="19"/>
        <v>#REF!</v>
      </c>
      <c r="R57" s="186"/>
      <c r="S57" s="168"/>
    </row>
    <row r="58" spans="1:19" ht="19.899999999999999" customHeight="1" thickBot="1" x14ac:dyDescent="0.25">
      <c r="A58" s="249"/>
      <c r="B58" s="252"/>
      <c r="C58" s="18"/>
      <c r="D58" s="14" t="s">
        <v>812</v>
      </c>
      <c r="E58" s="42" t="s">
        <v>813</v>
      </c>
      <c r="F58" s="138" t="s">
        <v>814</v>
      </c>
      <c r="G58" s="144">
        <v>8605.65</v>
      </c>
      <c r="H58" s="43">
        <v>0</v>
      </c>
      <c r="I58" s="43" t="e">
        <f>H58/#REF!</f>
        <v>#REF!</v>
      </c>
      <c r="J58" s="43" t="e">
        <f t="shared" si="20"/>
        <v>#REF!</v>
      </c>
      <c r="K58" s="172"/>
      <c r="L58" s="172"/>
      <c r="M58" s="175"/>
      <c r="N58" s="44"/>
      <c r="O58" s="44"/>
      <c r="P58" s="45" t="e">
        <f>IF(M56&lt;0.25,"PROPOSTA VÁLIDA",((IF(J58&gt;N57,"PROPOSTA FORA DOS LIMITES",IF(J58&lt;O57,"PROPOSTA FORA DOS LIMITES","PROPOSTA VÁLIDA")))))</f>
        <v>#REF!</v>
      </c>
      <c r="Q58" s="45" t="e">
        <f t="shared" si="19"/>
        <v>#REF!</v>
      </c>
      <c r="R58" s="187"/>
      <c r="S58" s="169"/>
    </row>
    <row r="59" spans="1:19" ht="19.899999999999999" customHeight="1" thickTop="1" x14ac:dyDescent="0.2">
      <c r="A59" s="247" t="s">
        <v>472</v>
      </c>
      <c r="B59" s="250" t="s">
        <v>603</v>
      </c>
      <c r="C59" s="9"/>
      <c r="D59" s="36" t="s">
        <v>454</v>
      </c>
      <c r="E59" s="39" t="s">
        <v>485</v>
      </c>
      <c r="F59" s="63" t="s">
        <v>829</v>
      </c>
      <c r="G59" s="142">
        <v>4977</v>
      </c>
      <c r="H59" s="21">
        <v>0</v>
      </c>
      <c r="I59" s="21">
        <f>H59/C60</f>
        <v>0</v>
      </c>
      <c r="J59" s="21">
        <f t="shared" si="20"/>
        <v>4977</v>
      </c>
      <c r="K59" s="170" t="e">
        <f>_xlfn.STDEV.S(J59:J61)</f>
        <v>#REF!</v>
      </c>
      <c r="L59" s="170" t="e">
        <f>(SUM(J59:J61))/((IF(J59=0,0,1))+(IF(J60=0,0,1))+(IF(J61=0,0,1)))</f>
        <v>#REF!</v>
      </c>
      <c r="M59" s="173" t="e">
        <f>K59/L59</f>
        <v>#REF!</v>
      </c>
      <c r="N59" s="37"/>
      <c r="O59" s="37"/>
      <c r="P59" s="38" t="e">
        <f>IF(M59&lt;0.25,"PROPOSTA VÁLIDA",((IF(J59&gt;N60,"PROPOSTA FORA DOS LIMITES",IF(J59&lt;O60,"PROPOSTA FORA DOS LIMITES","PROPOSTA VÁLIDA")))))</f>
        <v>#REF!</v>
      </c>
      <c r="Q59" s="38" t="e">
        <f t="shared" si="19"/>
        <v>#REF!</v>
      </c>
      <c r="R59" s="185" t="e">
        <f>IF(M59&lt;0.25,AVERAGE(Q59:Q61),((IF(J59&gt;N60,0,IF(J59&lt;O60,0,J59)))+(IF(J60&gt;N60,0,IF(J60&lt;O60,0,J60)))+(IF(J61&gt;N60,0,IF(J61&lt;O60,0,J61))))/(((IF(J59&gt;N60,0,IF(J59&lt;O60,0,1))))+((IF(J60&gt;N60,0,IF(J60&lt;O60,0,1))))+((IF(J61&gt;N60,0,IF(J61&lt;O60,0,1))))))</f>
        <v>#REF!</v>
      </c>
      <c r="S59" s="167" t="str">
        <f>IFERROR(R59*C60,"")</f>
        <v/>
      </c>
    </row>
    <row r="60" spans="1:19" ht="19.899999999999999" customHeight="1" x14ac:dyDescent="0.2">
      <c r="A60" s="248"/>
      <c r="B60" s="251"/>
      <c r="C60" s="17">
        <v>1</v>
      </c>
      <c r="D60" s="129" t="s">
        <v>811</v>
      </c>
      <c r="E60" s="39"/>
      <c r="F60" s="64" t="s">
        <v>840</v>
      </c>
      <c r="G60" s="143">
        <v>3900</v>
      </c>
      <c r="H60" s="20">
        <v>0</v>
      </c>
      <c r="I60" s="20" t="e">
        <f>H60/#REF!</f>
        <v>#REF!</v>
      </c>
      <c r="J60" s="20" t="e">
        <f t="shared" si="20"/>
        <v>#REF!</v>
      </c>
      <c r="K60" s="171"/>
      <c r="L60" s="171"/>
      <c r="M60" s="174"/>
      <c r="N60" s="40" t="e">
        <f>IF(M59&gt;=0.25,L59+K59,"CV&lt;25%")</f>
        <v>#REF!</v>
      </c>
      <c r="O60" s="40" t="e">
        <f>IF(M59&gt;=0.25,L59-K59,"CV&lt;25%")</f>
        <v>#REF!</v>
      </c>
      <c r="P60" s="41" t="e">
        <f>IF(M59&lt;0.25,"PROPOSTA VÁLIDA",((IF(J60&gt;N60,"PROPOSTA FORA DOS LIMITES",IF(J60&lt;O60,"PROPOSTA FORA DOS LIMITES","PROPOSTA VÁLIDA")))))</f>
        <v>#REF!</v>
      </c>
      <c r="Q60" s="41" t="e">
        <f t="shared" si="19"/>
        <v>#REF!</v>
      </c>
      <c r="R60" s="186"/>
      <c r="S60" s="168"/>
    </row>
    <row r="61" spans="1:19" ht="19.899999999999999" customHeight="1" thickBot="1" x14ac:dyDescent="0.25">
      <c r="A61" s="249"/>
      <c r="B61" s="252"/>
      <c r="C61" s="18"/>
      <c r="D61" s="14" t="s">
        <v>812</v>
      </c>
      <c r="E61" s="42" t="s">
        <v>813</v>
      </c>
      <c r="F61" s="138" t="s">
        <v>814</v>
      </c>
      <c r="G61" s="144">
        <v>7313.5219999999999</v>
      </c>
      <c r="H61" s="43">
        <v>0</v>
      </c>
      <c r="I61" s="43" t="e">
        <f>H61/#REF!</f>
        <v>#REF!</v>
      </c>
      <c r="J61" s="43" t="e">
        <f t="shared" si="20"/>
        <v>#REF!</v>
      </c>
      <c r="K61" s="172"/>
      <c r="L61" s="172"/>
      <c r="M61" s="175"/>
      <c r="N61" s="44"/>
      <c r="O61" s="44"/>
      <c r="P61" s="45" t="e">
        <f>IF(M59&lt;0.25,"PROPOSTA VÁLIDA",((IF(J61&gt;N60,"PROPOSTA FORA DOS LIMITES",IF(J61&lt;O60,"PROPOSTA FORA DOS LIMITES","PROPOSTA VÁLIDA")))))</f>
        <v>#REF!</v>
      </c>
      <c r="Q61" s="45" t="e">
        <f t="shared" si="19"/>
        <v>#REF!</v>
      </c>
      <c r="R61" s="187"/>
      <c r="S61" s="169"/>
    </row>
    <row r="62" spans="1:19" ht="34.15" customHeight="1" thickTop="1" x14ac:dyDescent="0.2">
      <c r="A62" s="260" t="s">
        <v>473</v>
      </c>
      <c r="B62" s="250" t="s">
        <v>659</v>
      </c>
      <c r="C62" s="9"/>
      <c r="D62" s="90" t="s">
        <v>649</v>
      </c>
      <c r="E62" s="19" t="s">
        <v>650</v>
      </c>
      <c r="F62" s="65" t="s">
        <v>847</v>
      </c>
      <c r="G62" s="142">
        <v>0</v>
      </c>
      <c r="H62" s="21">
        <v>0</v>
      </c>
      <c r="I62" s="21">
        <f>H62/C63</f>
        <v>0</v>
      </c>
      <c r="J62" s="20">
        <f t="shared" ref="J62:J91" si="21">G62+I62</f>
        <v>0</v>
      </c>
      <c r="K62" s="170">
        <f>_xlfn.STDEV.S(J62:J64)</f>
        <v>47305.749984786198</v>
      </c>
      <c r="L62" s="170">
        <f>(SUM(J62:J64))/((IF(J62=0,0,1))+(IF(J63=0,0,1))+(IF(J64=0,0,1)))</f>
        <v>81894.285000000003</v>
      </c>
      <c r="M62" s="173">
        <f>K62/L62</f>
        <v>0.57764409304979214</v>
      </c>
      <c r="N62" s="37"/>
      <c r="O62" s="37"/>
      <c r="P62" s="38" t="str">
        <f>IF(M62&lt;0.25,"PROPOSTA VÁLIDA",((IF(J62&gt;N63,"PROPOSTA FORA DOS LIMITES",IF(J62&lt;O63,"PROPOSTA FORA DOS LIMITES","PROPOSTA VÁLIDA")))))</f>
        <v>PROPOSTA FORA DOS LIMITES</v>
      </c>
      <c r="Q62" s="38">
        <f t="shared" ref="Q62:Q87" si="22">(IF(P62="PROPOSTA VÁLIDA",J62,0))</f>
        <v>0</v>
      </c>
      <c r="R62" s="185">
        <f>IF(M62&lt;0.25,AVERAGE(Q62:Q64),((IF(J62&gt;N63,0,IF(J62&lt;O63,0,J62)))+(IF(J63&gt;N63,0,IF(J63&lt;O63,0,J63)))+(IF(J64&gt;N63,0,IF(J64&lt;O63,0,J64))))/(((IF(J62&gt;N63,0,IF(J62&lt;O63,0,1))))+((IF(J63&gt;N63,0,IF(J63&lt;O63,0,1))))+((IF(J64&gt;N63,0,IF(J64&lt;O63,0,1))))))</f>
        <v>81894.285000000003</v>
      </c>
      <c r="S62" s="167">
        <f>IFERROR(R62*C63,"")</f>
        <v>81894.285000000003</v>
      </c>
    </row>
    <row r="63" spans="1:19" ht="34.15" customHeight="1" x14ac:dyDescent="0.2">
      <c r="A63" s="248"/>
      <c r="B63" s="251"/>
      <c r="C63" s="17">
        <v>1</v>
      </c>
      <c r="D63" s="10" t="s">
        <v>651</v>
      </c>
      <c r="E63" s="67" t="s">
        <v>652</v>
      </c>
      <c r="F63" s="66" t="s">
        <v>839</v>
      </c>
      <c r="G63" s="143">
        <v>83402.929999999993</v>
      </c>
      <c r="H63" s="20">
        <v>0</v>
      </c>
      <c r="I63" s="20">
        <f>H63/C63</f>
        <v>0</v>
      </c>
      <c r="J63" s="20">
        <f t="shared" si="21"/>
        <v>83402.929999999993</v>
      </c>
      <c r="K63" s="171"/>
      <c r="L63" s="171"/>
      <c r="M63" s="174"/>
      <c r="N63" s="40">
        <f>IF(M62&gt;=0.25,L62+K62,"CV&lt;25%")</f>
        <v>129200.03498478621</v>
      </c>
      <c r="O63" s="40">
        <f>IF(M62&gt;=0.25,L62-K62,"CV&lt;25%")</f>
        <v>34588.535015213805</v>
      </c>
      <c r="P63" s="41" t="str">
        <f>IF(M62&lt;0.25,"PROPOSTA VÁLIDA",((IF(J63&gt;N63,"PROPOSTA FORA DOS LIMITES",IF(J63&lt;O63,"PROPOSTA FORA DOS LIMITES","PROPOSTA VÁLIDA")))))</f>
        <v>PROPOSTA VÁLIDA</v>
      </c>
      <c r="Q63" s="41">
        <f t="shared" si="22"/>
        <v>83402.929999999993</v>
      </c>
      <c r="R63" s="186"/>
      <c r="S63" s="168"/>
    </row>
    <row r="64" spans="1:19" ht="34.15" customHeight="1" thickBot="1" x14ac:dyDescent="0.25">
      <c r="A64" s="249"/>
      <c r="B64" s="252"/>
      <c r="C64" s="18"/>
      <c r="D64" s="14" t="s">
        <v>834</v>
      </c>
      <c r="E64" s="42" t="s">
        <v>853</v>
      </c>
      <c r="F64" s="138" t="s">
        <v>841</v>
      </c>
      <c r="G64" s="144">
        <v>80385.64</v>
      </c>
      <c r="H64" s="43">
        <v>0</v>
      </c>
      <c r="I64" s="43">
        <f>H64/C63</f>
        <v>0</v>
      </c>
      <c r="J64" s="43">
        <f t="shared" si="21"/>
        <v>80385.64</v>
      </c>
      <c r="K64" s="172"/>
      <c r="L64" s="172"/>
      <c r="M64" s="175"/>
      <c r="N64" s="44"/>
      <c r="O64" s="44"/>
      <c r="P64" s="45" t="str">
        <f>IF(M62&lt;0.25,"PROPOSTA VÁLIDA",((IF(J64&gt;N63,"PROPOSTA FORA DOS LIMITES",IF(J64&lt;O63,"PROPOSTA FORA DOS LIMITES","PROPOSTA VÁLIDA")))))</f>
        <v>PROPOSTA VÁLIDA</v>
      </c>
      <c r="Q64" s="45">
        <f t="shared" si="22"/>
        <v>80385.64</v>
      </c>
      <c r="R64" s="187"/>
      <c r="S64" s="169"/>
    </row>
    <row r="65" spans="1:19" ht="34.15" customHeight="1" thickTop="1" x14ac:dyDescent="0.2">
      <c r="A65" s="260" t="s">
        <v>474</v>
      </c>
      <c r="B65" s="250" t="s">
        <v>660</v>
      </c>
      <c r="C65" s="9"/>
      <c r="D65" s="90" t="s">
        <v>649</v>
      </c>
      <c r="E65" s="19" t="s">
        <v>650</v>
      </c>
      <c r="F65" s="65" t="s">
        <v>819</v>
      </c>
      <c r="G65" s="142">
        <v>24945</v>
      </c>
      <c r="H65" s="21">
        <v>0</v>
      </c>
      <c r="I65" s="21">
        <f>H65/C66</f>
        <v>0</v>
      </c>
      <c r="J65" s="20">
        <f t="shared" si="21"/>
        <v>24945</v>
      </c>
      <c r="K65" s="170">
        <f>_xlfn.STDEV.S(J65:J67)</f>
        <v>14004.013381364395</v>
      </c>
      <c r="L65" s="170">
        <f>(SUM(J65:J67))/((IF(J65=0,0,1))+(IF(J66=0,0,1))+(IF(J67=0,0,1)))</f>
        <v>28225.85666666667</v>
      </c>
      <c r="M65" s="173">
        <f>K65/L65</f>
        <v>0.49614130570932985</v>
      </c>
      <c r="N65" s="37"/>
      <c r="O65" s="37"/>
      <c r="P65" s="38" t="str">
        <f>IF(M65&lt;0.25,"PROPOSTA VÁLIDA",((IF(J65&gt;N66,"PROPOSTA FORA DOS LIMITES",IF(J65&lt;O66,"PROPOSTA FORA DOS LIMITES","PROPOSTA VÁLIDA")))))</f>
        <v>PROPOSTA VÁLIDA</v>
      </c>
      <c r="Q65" s="38">
        <f t="shared" si="22"/>
        <v>24945</v>
      </c>
      <c r="R65" s="185">
        <f>IF(M65&lt;0.25,AVERAGE(Q65:Q67),((IF(J65&gt;N66,0,IF(J65&lt;O66,0,J65)))+(IF(J66&gt;N66,0,IF(J66&lt;O66,0,J66)))+(IF(J67&gt;N66,0,IF(J67&lt;O66,0,J67))))/(((IF(J65&gt;N66,0,IF(J65&lt;O66,0,1))))+((IF(J66&gt;N66,0,IF(J66&lt;O66,0,1))))+((IF(J67&gt;N66,0,IF(J67&lt;O66,0,1))))))</f>
        <v>20549.27</v>
      </c>
      <c r="S65" s="167">
        <f>IFERROR(R65*C66,"")</f>
        <v>20549.27</v>
      </c>
    </row>
    <row r="66" spans="1:19" ht="34.15" customHeight="1" x14ac:dyDescent="0.2">
      <c r="A66" s="248"/>
      <c r="B66" s="251"/>
      <c r="C66" s="17">
        <v>1</v>
      </c>
      <c r="D66" s="10" t="s">
        <v>651</v>
      </c>
      <c r="E66" s="67" t="s">
        <v>652</v>
      </c>
      <c r="F66" s="66" t="s">
        <v>839</v>
      </c>
      <c r="G66" s="143">
        <v>43579.03</v>
      </c>
      <c r="H66" s="20">
        <v>0</v>
      </c>
      <c r="I66" s="20">
        <f>H66/C66</f>
        <v>0</v>
      </c>
      <c r="J66" s="20">
        <f t="shared" si="21"/>
        <v>43579.03</v>
      </c>
      <c r="K66" s="171"/>
      <c r="L66" s="171"/>
      <c r="M66" s="174"/>
      <c r="N66" s="40">
        <f>IF(M65&gt;=0.25,L65+K65,"CV&lt;25%")</f>
        <v>42229.870048031065</v>
      </c>
      <c r="O66" s="40">
        <f>IF(M65&gt;=0.25,L65-K65,"CV&lt;25%")</f>
        <v>14221.843285302275</v>
      </c>
      <c r="P66" s="41" t="str">
        <f>IF(M65&lt;0.25,"PROPOSTA VÁLIDA",((IF(J66&gt;N66,"PROPOSTA FORA DOS LIMITES",IF(J66&lt;O66,"PROPOSTA FORA DOS LIMITES","PROPOSTA VÁLIDA")))))</f>
        <v>PROPOSTA FORA DOS LIMITES</v>
      </c>
      <c r="Q66" s="41">
        <f t="shared" si="22"/>
        <v>0</v>
      </c>
      <c r="R66" s="186"/>
      <c r="S66" s="168"/>
    </row>
    <row r="67" spans="1:19" ht="34.15" customHeight="1" thickBot="1" x14ac:dyDescent="0.25">
      <c r="A67" s="249"/>
      <c r="B67" s="252"/>
      <c r="C67" s="18"/>
      <c r="D67" s="14" t="s">
        <v>834</v>
      </c>
      <c r="E67" s="146" t="s">
        <v>853</v>
      </c>
      <c r="F67" s="138" t="s">
        <v>841</v>
      </c>
      <c r="G67" s="144">
        <v>16153.54</v>
      </c>
      <c r="H67" s="43">
        <v>0</v>
      </c>
      <c r="I67" s="43">
        <f>H67/C66</f>
        <v>0</v>
      </c>
      <c r="J67" s="43">
        <f t="shared" si="21"/>
        <v>16153.54</v>
      </c>
      <c r="K67" s="172"/>
      <c r="L67" s="172"/>
      <c r="M67" s="175"/>
      <c r="N67" s="44"/>
      <c r="O67" s="44"/>
      <c r="P67" s="45" t="str">
        <f>IF(M65&lt;0.25,"PROPOSTA VÁLIDA",((IF(J67&gt;N66,"PROPOSTA FORA DOS LIMITES",IF(J67&lt;O66,"PROPOSTA FORA DOS LIMITES","PROPOSTA VÁLIDA")))))</f>
        <v>PROPOSTA VÁLIDA</v>
      </c>
      <c r="Q67" s="45">
        <f t="shared" si="22"/>
        <v>16153.54</v>
      </c>
      <c r="R67" s="187"/>
      <c r="S67" s="169"/>
    </row>
    <row r="68" spans="1:19" ht="34.15" customHeight="1" thickTop="1" x14ac:dyDescent="0.2">
      <c r="A68" s="260" t="s">
        <v>475</v>
      </c>
      <c r="B68" s="250" t="s">
        <v>661</v>
      </c>
      <c r="C68" s="9"/>
      <c r="D68" s="90" t="s">
        <v>649</v>
      </c>
      <c r="E68" s="19" t="s">
        <v>650</v>
      </c>
      <c r="F68" s="65" t="s">
        <v>820</v>
      </c>
      <c r="G68" s="142">
        <v>22777</v>
      </c>
      <c r="H68" s="21">
        <v>0</v>
      </c>
      <c r="I68" s="21">
        <f>H68/C69</f>
        <v>0</v>
      </c>
      <c r="J68" s="20">
        <f t="shared" si="21"/>
        <v>22777</v>
      </c>
      <c r="K68" s="170">
        <f>_xlfn.STDEV.S(J68:J70)</f>
        <v>14642.417211076643</v>
      </c>
      <c r="L68" s="170">
        <f>(SUM(J68:J70))/((IF(J68=0,0,1))+(IF(J69=0,0,1))+(IF(J70=0,0,1)))</f>
        <v>25313.086666666666</v>
      </c>
      <c r="M68" s="173">
        <f>K68/L68</f>
        <v>0.57845245836251147</v>
      </c>
      <c r="N68" s="37"/>
      <c r="O68" s="37"/>
      <c r="P68" s="38" t="str">
        <f>IF(M68&lt;0.25,"PROPOSTA VÁLIDA",((IF(J68&gt;N69,"PROPOSTA FORA DOS LIMITES",IF(J68&lt;O69,"PROPOSTA FORA DOS LIMITES","PROPOSTA VÁLIDA")))))</f>
        <v>PROPOSTA VÁLIDA</v>
      </c>
      <c r="Q68" s="38">
        <f t="shared" si="22"/>
        <v>22777</v>
      </c>
      <c r="R68" s="185">
        <f>IF(M68&lt;0.25,AVERAGE(Q68:Q70),((IF(J68&gt;N69,0,IF(J68&lt;O69,0,J68)))+(IF(J69&gt;N69,0,IF(J69&lt;O69,0,J69)))+(IF(J70&gt;N69,0,IF(J70&lt;O69,0,J70))))/(((IF(J68&gt;N69,0,IF(J68&lt;O69,0,1))))+((IF(J69&gt;N69,0,IF(J69&lt;O69,0,1))))+((IF(J70&gt;N69,0,IF(J70&lt;O69,0,1))))))</f>
        <v>17440.685000000001</v>
      </c>
      <c r="S68" s="167">
        <f>IFERROR(R68*C69,"")</f>
        <v>17440.685000000001</v>
      </c>
    </row>
    <row r="69" spans="1:19" ht="34.15" customHeight="1" x14ac:dyDescent="0.2">
      <c r="A69" s="248"/>
      <c r="B69" s="251"/>
      <c r="C69" s="17">
        <v>1</v>
      </c>
      <c r="D69" s="10" t="s">
        <v>651</v>
      </c>
      <c r="E69" s="67" t="s">
        <v>652</v>
      </c>
      <c r="F69" s="66" t="s">
        <v>839</v>
      </c>
      <c r="G69" s="143">
        <v>41057.89</v>
      </c>
      <c r="H69" s="20">
        <v>0</v>
      </c>
      <c r="I69" s="20">
        <f>H69/C69</f>
        <v>0</v>
      </c>
      <c r="J69" s="20">
        <f t="shared" si="21"/>
        <v>41057.89</v>
      </c>
      <c r="K69" s="171"/>
      <c r="L69" s="171"/>
      <c r="M69" s="174"/>
      <c r="N69" s="40">
        <f>IF(M68&gt;=0.25,L68+K68,"CV&lt;25%")</f>
        <v>39955.503877743307</v>
      </c>
      <c r="O69" s="40">
        <f>IF(M68&gt;=0.25,L68-K68,"CV&lt;25%")</f>
        <v>10670.669455590023</v>
      </c>
      <c r="P69" s="41" t="str">
        <f>IF(M68&lt;0.25,"PROPOSTA VÁLIDA",((IF(J69&gt;N69,"PROPOSTA FORA DOS LIMITES",IF(J69&lt;O69,"PROPOSTA FORA DOS LIMITES","PROPOSTA VÁLIDA")))))</f>
        <v>PROPOSTA FORA DOS LIMITES</v>
      </c>
      <c r="Q69" s="41">
        <f t="shared" si="22"/>
        <v>0</v>
      </c>
      <c r="R69" s="186"/>
      <c r="S69" s="168"/>
    </row>
    <row r="70" spans="1:19" ht="34.15" customHeight="1" thickBot="1" x14ac:dyDescent="0.25">
      <c r="A70" s="249"/>
      <c r="B70" s="252"/>
      <c r="C70" s="18"/>
      <c r="D70" s="14" t="s">
        <v>834</v>
      </c>
      <c r="E70" s="146" t="s">
        <v>853</v>
      </c>
      <c r="F70" s="138" t="s">
        <v>841</v>
      </c>
      <c r="G70" s="144">
        <v>12104.37</v>
      </c>
      <c r="H70" s="43">
        <v>0</v>
      </c>
      <c r="I70" s="43">
        <f>H70/C69</f>
        <v>0</v>
      </c>
      <c r="J70" s="43">
        <f t="shared" si="21"/>
        <v>12104.37</v>
      </c>
      <c r="K70" s="172"/>
      <c r="L70" s="172"/>
      <c r="M70" s="175"/>
      <c r="N70" s="44"/>
      <c r="O70" s="44"/>
      <c r="P70" s="45" t="str">
        <f>IF(M68&lt;0.25,"PROPOSTA VÁLIDA",((IF(J70&gt;N69,"PROPOSTA FORA DOS LIMITES",IF(J70&lt;O69,"PROPOSTA FORA DOS LIMITES","PROPOSTA VÁLIDA")))))</f>
        <v>PROPOSTA VÁLIDA</v>
      </c>
      <c r="Q70" s="45">
        <f t="shared" si="22"/>
        <v>12104.37</v>
      </c>
      <c r="R70" s="187"/>
      <c r="S70" s="169"/>
    </row>
    <row r="71" spans="1:19" ht="34.15" customHeight="1" thickTop="1" x14ac:dyDescent="0.2">
      <c r="A71" s="260" t="s">
        <v>476</v>
      </c>
      <c r="B71" s="250" t="s">
        <v>662</v>
      </c>
      <c r="C71" s="9"/>
      <c r="D71" s="90" t="s">
        <v>649</v>
      </c>
      <c r="E71" s="19" t="s">
        <v>650</v>
      </c>
      <c r="F71" s="65" t="s">
        <v>822</v>
      </c>
      <c r="G71" s="142">
        <v>25049</v>
      </c>
      <c r="H71" s="21">
        <v>0</v>
      </c>
      <c r="I71" s="21">
        <f>H71/C72</f>
        <v>0</v>
      </c>
      <c r="J71" s="20">
        <f t="shared" si="21"/>
        <v>25049</v>
      </c>
      <c r="K71" s="170">
        <f>_xlfn.STDEV.S(J71:J73)</f>
        <v>14550.398288051532</v>
      </c>
      <c r="L71" s="170">
        <f>(SUM(J71:J73))/((IF(J71=0,0,1))+(IF(J72=0,0,1))+(IF(J73=0,0,1)))</f>
        <v>24968.193333333333</v>
      </c>
      <c r="M71" s="173">
        <f>K71/L71</f>
        <v>0.58275735427866493</v>
      </c>
      <c r="N71" s="37"/>
      <c r="O71" s="37"/>
      <c r="P71" s="38" t="str">
        <f>IF(M71&lt;0.25,"PROPOSTA VÁLIDA",((IF(J71&gt;N72,"PROPOSTA FORA DOS LIMITES",IF(J71&lt;O72,"PROPOSTA FORA DOS LIMITES","PROPOSTA VÁLIDA")))))</f>
        <v>PROPOSTA VÁLIDA</v>
      </c>
      <c r="Q71" s="38">
        <f t="shared" si="22"/>
        <v>25049</v>
      </c>
      <c r="R71" s="185">
        <f>IF(M71&lt;0.25,AVERAGE(Q71:Q73),((IF(J71&gt;N72,0,IF(J71&lt;O72,0,J71)))+(IF(J72&gt;N72,0,IF(J72&lt;O72,0,J72)))+(IF(J73&gt;N72,0,IF(J73&lt;O72,0,J73))))/(((IF(J71&gt;N72,0,IF(J71&lt;O72,0,1))))+((IF(J72&gt;N72,0,IF(J72&lt;O72,0,1))))+((IF(J73&gt;N72,0,IF(J73&lt;O72,0,1))))))</f>
        <v>32263.51</v>
      </c>
      <c r="S71" s="167">
        <f>IFERROR(R71*C72,"")</f>
        <v>32263.51</v>
      </c>
    </row>
    <row r="72" spans="1:19" ht="34.15" customHeight="1" x14ac:dyDescent="0.2">
      <c r="A72" s="248"/>
      <c r="B72" s="251"/>
      <c r="C72" s="17">
        <v>1</v>
      </c>
      <c r="D72" s="10" t="s">
        <v>651</v>
      </c>
      <c r="E72" s="67" t="s">
        <v>652</v>
      </c>
      <c r="F72" s="66" t="s">
        <v>839</v>
      </c>
      <c r="G72" s="143">
        <v>39478.019999999997</v>
      </c>
      <c r="H72" s="20">
        <v>0</v>
      </c>
      <c r="I72" s="20">
        <f>H72/C72</f>
        <v>0</v>
      </c>
      <c r="J72" s="20">
        <f t="shared" si="21"/>
        <v>39478.019999999997</v>
      </c>
      <c r="K72" s="171"/>
      <c r="L72" s="171"/>
      <c r="M72" s="174"/>
      <c r="N72" s="40">
        <f>IF(M71&gt;=0.25,L71+K71,"CV&lt;25%")</f>
        <v>39518.591621384869</v>
      </c>
      <c r="O72" s="40">
        <f>IF(M71&gt;=0.25,L71-K71,"CV&lt;25%")</f>
        <v>10417.7950452818</v>
      </c>
      <c r="P72" s="41" t="str">
        <f>IF(M71&lt;0.25,"PROPOSTA VÁLIDA",((IF(J72&gt;N72,"PROPOSTA FORA DOS LIMITES",IF(J72&lt;O72,"PROPOSTA FORA DOS LIMITES","PROPOSTA VÁLIDA")))))</f>
        <v>PROPOSTA VÁLIDA</v>
      </c>
      <c r="Q72" s="41">
        <f t="shared" si="22"/>
        <v>39478.019999999997</v>
      </c>
      <c r="R72" s="186"/>
      <c r="S72" s="168"/>
    </row>
    <row r="73" spans="1:19" ht="34.15" customHeight="1" thickBot="1" x14ac:dyDescent="0.25">
      <c r="A73" s="249"/>
      <c r="B73" s="252"/>
      <c r="C73" s="18"/>
      <c r="D73" s="14" t="s">
        <v>834</v>
      </c>
      <c r="E73" s="146" t="s">
        <v>853</v>
      </c>
      <c r="F73" s="138" t="s">
        <v>841</v>
      </c>
      <c r="G73" s="144">
        <v>10377.56</v>
      </c>
      <c r="H73" s="43">
        <v>0</v>
      </c>
      <c r="I73" s="43">
        <f>H73/C72</f>
        <v>0</v>
      </c>
      <c r="J73" s="43">
        <f t="shared" si="21"/>
        <v>10377.56</v>
      </c>
      <c r="K73" s="172"/>
      <c r="L73" s="172"/>
      <c r="M73" s="175"/>
      <c r="N73" s="44"/>
      <c r="O73" s="44"/>
      <c r="P73" s="45" t="str">
        <f>IF(M71&lt;0.25,"PROPOSTA VÁLIDA",((IF(J73&gt;N72,"PROPOSTA FORA DOS LIMITES",IF(J73&lt;O72,"PROPOSTA FORA DOS LIMITES","PROPOSTA VÁLIDA")))))</f>
        <v>PROPOSTA FORA DOS LIMITES</v>
      </c>
      <c r="Q73" s="45">
        <f t="shared" si="22"/>
        <v>0</v>
      </c>
      <c r="R73" s="187"/>
      <c r="S73" s="169"/>
    </row>
    <row r="74" spans="1:19" ht="34.15" customHeight="1" thickTop="1" x14ac:dyDescent="0.2">
      <c r="A74" s="260" t="s">
        <v>477</v>
      </c>
      <c r="B74" s="250" t="s">
        <v>663</v>
      </c>
      <c r="C74" s="9"/>
      <c r="D74" s="90" t="s">
        <v>649</v>
      </c>
      <c r="E74" s="19" t="s">
        <v>650</v>
      </c>
      <c r="F74" s="65" t="s">
        <v>823</v>
      </c>
      <c r="G74" s="142">
        <v>19256</v>
      </c>
      <c r="H74" s="21">
        <v>0</v>
      </c>
      <c r="I74" s="21">
        <f>H74/C75</f>
        <v>0</v>
      </c>
      <c r="J74" s="20">
        <f t="shared" si="21"/>
        <v>19256</v>
      </c>
      <c r="K74" s="170">
        <f>_xlfn.STDEV.S(J74:J76)</f>
        <v>14984.973477324991</v>
      </c>
      <c r="L74" s="170">
        <f>(SUM(J74:J76))/((IF(J74=0,0,1))+(IF(J75=0,0,1))+(IF(J76=0,0,1)))</f>
        <v>22933.306666666667</v>
      </c>
      <c r="M74" s="173">
        <f>K74/L74</f>
        <v>0.65341530094766054</v>
      </c>
      <c r="N74" s="37"/>
      <c r="O74" s="37"/>
      <c r="P74" s="38" t="str">
        <f>IF(M74&lt;0.25,"PROPOSTA VÁLIDA",((IF(J74&gt;N75,"PROPOSTA FORA DOS LIMITES",IF(J74&lt;O75,"PROPOSTA FORA DOS LIMITES","PROPOSTA VÁLIDA")))))</f>
        <v>PROPOSTA VÁLIDA</v>
      </c>
      <c r="Q74" s="38">
        <f t="shared" si="22"/>
        <v>19256</v>
      </c>
      <c r="R74" s="185">
        <f>IF(M74&lt;0.25,AVERAGE(Q74:Q76),((IF(J74&gt;N75,0,IF(J74&lt;O75,0,J74)))+(IF(J75&gt;N75,0,IF(J75&lt;O75,0,J75)))+(IF(J76&gt;N75,0,IF(J76&lt;O75,0,J76))))/(((IF(J74&gt;N75,0,IF(J74&lt;O75,0,1))))+((IF(J75&gt;N75,0,IF(J75&lt;O75,0,1))))+((IF(J76&gt;N75,0,IF(J76&lt;O75,0,1))))))</f>
        <v>14692.65</v>
      </c>
      <c r="S74" s="167">
        <f>IFERROR(R74*C75,"")</f>
        <v>14692.65</v>
      </c>
    </row>
    <row r="75" spans="1:19" ht="34.15" customHeight="1" x14ac:dyDescent="0.2">
      <c r="A75" s="248"/>
      <c r="B75" s="251"/>
      <c r="C75" s="17">
        <v>1</v>
      </c>
      <c r="D75" s="10" t="s">
        <v>651</v>
      </c>
      <c r="E75" s="67" t="s">
        <v>652</v>
      </c>
      <c r="F75" s="66" t="s">
        <v>839</v>
      </c>
      <c r="G75" s="143">
        <v>39414.620000000003</v>
      </c>
      <c r="H75" s="20">
        <v>0</v>
      </c>
      <c r="I75" s="20">
        <f>H75/C75</f>
        <v>0</v>
      </c>
      <c r="J75" s="20">
        <f t="shared" si="21"/>
        <v>39414.620000000003</v>
      </c>
      <c r="K75" s="171"/>
      <c r="L75" s="171"/>
      <c r="M75" s="174"/>
      <c r="N75" s="40">
        <f>IF(M74&gt;=0.25,L74+K74,"CV&lt;25%")</f>
        <v>37918.280143991658</v>
      </c>
      <c r="O75" s="40">
        <f>IF(M74&gt;=0.25,L74-K74,"CV&lt;25%")</f>
        <v>7948.3331893416762</v>
      </c>
      <c r="P75" s="41" t="str">
        <f>IF(M74&lt;0.25,"PROPOSTA VÁLIDA",((IF(J75&gt;N75,"PROPOSTA FORA DOS LIMITES",IF(J75&lt;O75,"PROPOSTA FORA DOS LIMITES","PROPOSTA VÁLIDA")))))</f>
        <v>PROPOSTA FORA DOS LIMITES</v>
      </c>
      <c r="Q75" s="41">
        <f t="shared" si="22"/>
        <v>0</v>
      </c>
      <c r="R75" s="186"/>
      <c r="S75" s="168"/>
    </row>
    <row r="76" spans="1:19" ht="34.15" customHeight="1" thickBot="1" x14ac:dyDescent="0.25">
      <c r="A76" s="249"/>
      <c r="B76" s="252"/>
      <c r="C76" s="18"/>
      <c r="D76" s="14" t="s">
        <v>834</v>
      </c>
      <c r="E76" s="146" t="s">
        <v>853</v>
      </c>
      <c r="F76" s="138" t="s">
        <v>841</v>
      </c>
      <c r="G76" s="144">
        <v>10129.299999999999</v>
      </c>
      <c r="H76" s="43">
        <v>0</v>
      </c>
      <c r="I76" s="43">
        <f>H76/C75</f>
        <v>0</v>
      </c>
      <c r="J76" s="43">
        <f t="shared" si="21"/>
        <v>10129.299999999999</v>
      </c>
      <c r="K76" s="172"/>
      <c r="L76" s="172"/>
      <c r="M76" s="175"/>
      <c r="N76" s="44"/>
      <c r="O76" s="44"/>
      <c r="P76" s="45" t="str">
        <f>IF(M74&lt;0.25,"PROPOSTA VÁLIDA",((IF(J76&gt;N75,"PROPOSTA FORA DOS LIMITES",IF(J76&lt;O75,"PROPOSTA FORA DOS LIMITES","PROPOSTA VÁLIDA")))))</f>
        <v>PROPOSTA VÁLIDA</v>
      </c>
      <c r="Q76" s="45">
        <f t="shared" si="22"/>
        <v>10129.299999999999</v>
      </c>
      <c r="R76" s="187"/>
      <c r="S76" s="169"/>
    </row>
    <row r="77" spans="1:19" ht="34.15" customHeight="1" thickTop="1" x14ac:dyDescent="0.2">
      <c r="A77" s="260" t="s">
        <v>478</v>
      </c>
      <c r="B77" s="250" t="s">
        <v>664</v>
      </c>
      <c r="C77" s="9"/>
      <c r="D77" s="90" t="s">
        <v>649</v>
      </c>
      <c r="E77" s="19" t="s">
        <v>650</v>
      </c>
      <c r="F77" s="65" t="s">
        <v>821</v>
      </c>
      <c r="G77" s="142">
        <v>17858</v>
      </c>
      <c r="H77" s="21">
        <v>0</v>
      </c>
      <c r="I77" s="21">
        <f>H77/C78</f>
        <v>0</v>
      </c>
      <c r="J77" s="20">
        <f t="shared" si="21"/>
        <v>17858</v>
      </c>
      <c r="K77" s="170">
        <f>_xlfn.STDEV.S(J77:J79)</f>
        <v>14774.854191687758</v>
      </c>
      <c r="L77" s="170">
        <f>(SUM(J77:J79))/((IF(J77=0,0,1))+(IF(J78=0,0,1))+(IF(J79=0,0,1)))</f>
        <v>20265.256666666664</v>
      </c>
      <c r="M77" s="173">
        <f>K77/L77</f>
        <v>0.72907313411875996</v>
      </c>
      <c r="N77" s="37"/>
      <c r="O77" s="37"/>
      <c r="P77" s="38" t="str">
        <f>IF(M77&lt;0.25,"PROPOSTA VÁLIDA",((IF(J77&gt;N78,"PROPOSTA FORA DOS LIMITES",IF(J77&lt;O78,"PROPOSTA FORA DOS LIMITES","PROPOSTA VÁLIDA")))))</f>
        <v>PROPOSTA VÁLIDA</v>
      </c>
      <c r="Q77" s="38">
        <f t="shared" si="22"/>
        <v>17858</v>
      </c>
      <c r="R77" s="185">
        <f>IF(M77&lt;0.25,AVERAGE(Q77:Q79),((IF(J77&gt;N78,0,IF(J77&lt;O78,0,J77)))+(IF(J78&gt;N78,0,IF(J78&lt;O78,0,J78)))+(IF(J79&gt;N78,0,IF(J79&lt;O78,0,J79))))/(((IF(J77&gt;N78,0,IF(J77&lt;O78,0,1))))+((IF(J78&gt;N78,0,IF(J78&lt;O78,0,1))))+((IF(J79&gt;N78,0,IF(J79&lt;O78,0,1))))))</f>
        <v>12349.924999999999</v>
      </c>
      <c r="S77" s="167">
        <f>IFERROR(R77*C78,"")</f>
        <v>12349.924999999999</v>
      </c>
    </row>
    <row r="78" spans="1:19" ht="34.15" customHeight="1" x14ac:dyDescent="0.2">
      <c r="A78" s="248"/>
      <c r="B78" s="251"/>
      <c r="C78" s="17">
        <v>1</v>
      </c>
      <c r="D78" s="10" t="s">
        <v>651</v>
      </c>
      <c r="E78" s="67" t="s">
        <v>652</v>
      </c>
      <c r="F78" s="66" t="s">
        <v>839</v>
      </c>
      <c r="G78" s="143">
        <v>36095.919999999998</v>
      </c>
      <c r="H78" s="20">
        <v>0</v>
      </c>
      <c r="I78" s="20">
        <f>H78/C78</f>
        <v>0</v>
      </c>
      <c r="J78" s="20">
        <f t="shared" si="21"/>
        <v>36095.919999999998</v>
      </c>
      <c r="K78" s="171"/>
      <c r="L78" s="171"/>
      <c r="M78" s="174"/>
      <c r="N78" s="40">
        <f>IF(M77&gt;=0.25,L77+K77,"CV&lt;25%")</f>
        <v>35040.110858354426</v>
      </c>
      <c r="O78" s="40">
        <f>IF(M77&gt;=0.25,L77-K77,"CV&lt;25%")</f>
        <v>5490.402474978906</v>
      </c>
      <c r="P78" s="41" t="str">
        <f>IF(M77&lt;0.25,"PROPOSTA VÁLIDA",((IF(J78&gt;N78,"PROPOSTA FORA DOS LIMITES",IF(J78&lt;O78,"PROPOSTA FORA DOS LIMITES","PROPOSTA VÁLIDA")))))</f>
        <v>PROPOSTA FORA DOS LIMITES</v>
      </c>
      <c r="Q78" s="41">
        <f t="shared" si="22"/>
        <v>0</v>
      </c>
      <c r="R78" s="186"/>
      <c r="S78" s="168"/>
    </row>
    <row r="79" spans="1:19" ht="34.15" customHeight="1" thickBot="1" x14ac:dyDescent="0.25">
      <c r="A79" s="249"/>
      <c r="B79" s="252"/>
      <c r="C79" s="18"/>
      <c r="D79" s="14" t="s">
        <v>834</v>
      </c>
      <c r="E79" s="146" t="s">
        <v>853</v>
      </c>
      <c r="F79" s="138" t="s">
        <v>841</v>
      </c>
      <c r="G79" s="144">
        <v>6841.85</v>
      </c>
      <c r="H79" s="43">
        <v>0</v>
      </c>
      <c r="I79" s="43">
        <f>H79/C78</f>
        <v>0</v>
      </c>
      <c r="J79" s="43">
        <f t="shared" si="21"/>
        <v>6841.85</v>
      </c>
      <c r="K79" s="172"/>
      <c r="L79" s="172"/>
      <c r="M79" s="175"/>
      <c r="N79" s="44"/>
      <c r="O79" s="44"/>
      <c r="P79" s="45" t="str">
        <f>IF(M77&lt;0.25,"PROPOSTA VÁLIDA",((IF(J79&gt;N78,"PROPOSTA FORA DOS LIMITES",IF(J79&lt;O78,"PROPOSTA FORA DOS LIMITES","PROPOSTA VÁLIDA")))))</f>
        <v>PROPOSTA VÁLIDA</v>
      </c>
      <c r="Q79" s="45">
        <f t="shared" si="22"/>
        <v>6841.85</v>
      </c>
      <c r="R79" s="187"/>
      <c r="S79" s="169"/>
    </row>
    <row r="80" spans="1:19" ht="34.15" customHeight="1" thickTop="1" x14ac:dyDescent="0.2">
      <c r="A80" s="260" t="s">
        <v>479</v>
      </c>
      <c r="B80" s="250" t="s">
        <v>665</v>
      </c>
      <c r="C80" s="9"/>
      <c r="D80" s="90" t="s">
        <v>649</v>
      </c>
      <c r="E80" s="19" t="s">
        <v>650</v>
      </c>
      <c r="F80" s="65" t="s">
        <v>824</v>
      </c>
      <c r="G80" s="142">
        <v>23548</v>
      </c>
      <c r="H80" s="21">
        <v>0</v>
      </c>
      <c r="I80" s="21">
        <f>H80/C81</f>
        <v>0</v>
      </c>
      <c r="J80" s="20">
        <f t="shared" si="21"/>
        <v>23548</v>
      </c>
      <c r="K80" s="170">
        <f>_xlfn.STDEV.S(J80:J82)</f>
        <v>16235.447243468025</v>
      </c>
      <c r="L80" s="170">
        <f>(SUM(J80:J82))/((IF(J80=0,0,1))+(IF(J81=0,0,1))+(IF(J82=0,0,1)))</f>
        <v>24345.916666666668</v>
      </c>
      <c r="M80" s="173">
        <f>K80/L80</f>
        <v>0.66686530910938624</v>
      </c>
      <c r="N80" s="37"/>
      <c r="O80" s="37"/>
      <c r="P80" s="38" t="str">
        <f>IF(M80&lt;0.25,"PROPOSTA VÁLIDA",((IF(J80&gt;N81,"PROPOSTA FORA DOS LIMITES",IF(J80&lt;O81,"PROPOSTA FORA DOS LIMITES","PROPOSTA VÁLIDA")))))</f>
        <v>PROPOSTA VÁLIDA</v>
      </c>
      <c r="Q80" s="38">
        <f t="shared" si="22"/>
        <v>23548</v>
      </c>
      <c r="R80" s="185">
        <f>IF(M80&lt;0.25,AVERAGE(Q80:Q82),((IF(J80&gt;N81,0,IF(J80&lt;O81,0,J80)))+(IF(J81&gt;N81,0,IF(J81&lt;O81,0,J81)))+(IF(J82&gt;N81,0,IF(J82&lt;O81,0,J82))))/(((IF(J80&gt;N81,0,IF(J80&lt;O81,0,1))))+((IF(J81&gt;N81,0,IF(J81&lt;O81,0,1))))+((IF(J82&gt;N81,0,IF(J82&lt;O81,0,1))))))</f>
        <v>16036.07</v>
      </c>
      <c r="S80" s="167">
        <f>IFERROR(R80*C81,"")</f>
        <v>16036.07</v>
      </c>
    </row>
    <row r="81" spans="1:19" ht="34.15" customHeight="1" x14ac:dyDescent="0.2">
      <c r="A81" s="248"/>
      <c r="B81" s="251"/>
      <c r="C81" s="17">
        <v>1</v>
      </c>
      <c r="D81" s="10" t="s">
        <v>651</v>
      </c>
      <c r="E81" s="67" t="s">
        <v>652</v>
      </c>
      <c r="F81" s="66" t="s">
        <v>839</v>
      </c>
      <c r="G81" s="143">
        <v>40965.61</v>
      </c>
      <c r="H81" s="20">
        <v>0</v>
      </c>
      <c r="I81" s="20">
        <f>H81/C81</f>
        <v>0</v>
      </c>
      <c r="J81" s="20">
        <f t="shared" si="21"/>
        <v>40965.61</v>
      </c>
      <c r="K81" s="171"/>
      <c r="L81" s="171"/>
      <c r="M81" s="174"/>
      <c r="N81" s="40">
        <f>IF(M80&gt;=0.25,L80+K80,"CV&lt;25%")</f>
        <v>40581.363910134693</v>
      </c>
      <c r="O81" s="40">
        <f>IF(M80&gt;=0.25,L80-K80,"CV&lt;25%")</f>
        <v>8110.4694231986432</v>
      </c>
      <c r="P81" s="41" t="str">
        <f>IF(M80&lt;0.25,"PROPOSTA VÁLIDA",((IF(J81&gt;N81,"PROPOSTA FORA DOS LIMITES",IF(J81&lt;O81,"PROPOSTA FORA DOS LIMITES","PROPOSTA VÁLIDA")))))</f>
        <v>PROPOSTA FORA DOS LIMITES</v>
      </c>
      <c r="Q81" s="41">
        <f t="shared" si="22"/>
        <v>0</v>
      </c>
      <c r="R81" s="186"/>
      <c r="S81" s="168"/>
    </row>
    <row r="82" spans="1:19" ht="34.15" customHeight="1" thickBot="1" x14ac:dyDescent="0.25">
      <c r="A82" s="249"/>
      <c r="B82" s="252"/>
      <c r="C82" s="18"/>
      <c r="D82" s="14" t="s">
        <v>834</v>
      </c>
      <c r="E82" s="42" t="s">
        <v>853</v>
      </c>
      <c r="F82" s="138" t="s">
        <v>841</v>
      </c>
      <c r="G82" s="144">
        <v>8524.14</v>
      </c>
      <c r="H82" s="43">
        <v>0</v>
      </c>
      <c r="I82" s="43">
        <f>H82/C81</f>
        <v>0</v>
      </c>
      <c r="J82" s="43">
        <f t="shared" si="21"/>
        <v>8524.14</v>
      </c>
      <c r="K82" s="172"/>
      <c r="L82" s="172"/>
      <c r="M82" s="175"/>
      <c r="N82" s="44"/>
      <c r="O82" s="44"/>
      <c r="P82" s="45" t="str">
        <f>IF(M80&lt;0.25,"PROPOSTA VÁLIDA",((IF(J82&gt;N81,"PROPOSTA FORA DOS LIMITES",IF(J82&lt;O81,"PROPOSTA FORA DOS LIMITES","PROPOSTA VÁLIDA")))))</f>
        <v>PROPOSTA VÁLIDA</v>
      </c>
      <c r="Q82" s="45">
        <f t="shared" si="22"/>
        <v>8524.14</v>
      </c>
      <c r="R82" s="187"/>
      <c r="S82" s="169"/>
    </row>
    <row r="83" spans="1:19" ht="34.15" customHeight="1" thickTop="1" x14ac:dyDescent="0.2">
      <c r="A83" s="260" t="s">
        <v>480</v>
      </c>
      <c r="B83" s="250" t="s">
        <v>666</v>
      </c>
      <c r="C83" s="9"/>
      <c r="D83" s="90" t="s">
        <v>649</v>
      </c>
      <c r="E83" s="19" t="s">
        <v>650</v>
      </c>
      <c r="F83" s="65" t="s">
        <v>825</v>
      </c>
      <c r="G83" s="142">
        <v>13991</v>
      </c>
      <c r="H83" s="21">
        <v>0</v>
      </c>
      <c r="I83" s="21">
        <f>H83/C84</f>
        <v>0</v>
      </c>
      <c r="J83" s="20">
        <f t="shared" si="21"/>
        <v>13991</v>
      </c>
      <c r="K83" s="170">
        <f>_xlfn.STDEV.S(J83:J85)</f>
        <v>15535.777098981347</v>
      </c>
      <c r="L83" s="170">
        <f>(SUM(J83:J85))/((IF(J83=0,0,1))+(IF(J84=0,0,1))+(IF(J85=0,0,1)))</f>
        <v>19485.446666666667</v>
      </c>
      <c r="M83" s="173">
        <f>K83/L83</f>
        <v>0.79730156381573047</v>
      </c>
      <c r="N83" s="37"/>
      <c r="O83" s="37"/>
      <c r="P83" s="38" t="str">
        <f>IF(M83&lt;0.25,"PROPOSTA VÁLIDA",((IF(J83&gt;N84,"PROPOSTA FORA DOS LIMITES",IF(J83&lt;O84,"PROPOSTA FORA DOS LIMITES","PROPOSTA VÁLIDA")))))</f>
        <v>PROPOSTA VÁLIDA</v>
      </c>
      <c r="Q83" s="38">
        <f t="shared" si="22"/>
        <v>13991</v>
      </c>
      <c r="R83" s="185">
        <f>IF(M83&lt;0.25,AVERAGE(Q83:Q85),((IF(J83&gt;N84,0,IF(J83&lt;O84,0,J83)))+(IF(J84&gt;N84,0,IF(J84&lt;O84,0,J84)))+(IF(J85&gt;N84,0,IF(J85&lt;O84,0,J85))))/(((IF(J83&gt;N84,0,IF(J83&lt;O84,0,1))))+((IF(J84&gt;N84,0,IF(J84&lt;O84,0,1))))+((IF(J85&gt;N84,0,IF(J85&lt;O84,0,1))))))</f>
        <v>10717.264999999999</v>
      </c>
      <c r="S83" s="167">
        <f>IFERROR(R83*C84,"")</f>
        <v>10717.264999999999</v>
      </c>
    </row>
    <row r="84" spans="1:19" ht="34.15" customHeight="1" x14ac:dyDescent="0.2">
      <c r="A84" s="248"/>
      <c r="B84" s="251"/>
      <c r="C84" s="17">
        <v>1</v>
      </c>
      <c r="D84" s="10" t="s">
        <v>651</v>
      </c>
      <c r="E84" s="67" t="s">
        <v>652</v>
      </c>
      <c r="F84" s="66" t="s">
        <v>839</v>
      </c>
      <c r="G84" s="143">
        <v>37021.81</v>
      </c>
      <c r="H84" s="20">
        <v>0</v>
      </c>
      <c r="I84" s="20">
        <f>H84/C84</f>
        <v>0</v>
      </c>
      <c r="J84" s="20">
        <f t="shared" si="21"/>
        <v>37021.81</v>
      </c>
      <c r="K84" s="171"/>
      <c r="L84" s="171"/>
      <c r="M84" s="174"/>
      <c r="N84" s="40">
        <f>IF(M83&gt;=0.25,L83+K83,"CV&lt;25%")</f>
        <v>35021.223765648014</v>
      </c>
      <c r="O84" s="40">
        <f>IF(M83&gt;=0.25,L83-K83,"CV&lt;25%")</f>
        <v>3949.6695676853196</v>
      </c>
      <c r="P84" s="41" t="str">
        <f>IF(M83&lt;0.25,"PROPOSTA VÁLIDA",((IF(J84&gt;N84,"PROPOSTA FORA DOS LIMITES",IF(J84&lt;O84,"PROPOSTA FORA DOS LIMITES","PROPOSTA VÁLIDA")))))</f>
        <v>PROPOSTA FORA DOS LIMITES</v>
      </c>
      <c r="Q84" s="41">
        <f t="shared" si="22"/>
        <v>0</v>
      </c>
      <c r="R84" s="186"/>
      <c r="S84" s="168"/>
    </row>
    <row r="85" spans="1:19" ht="34.15" customHeight="1" thickBot="1" x14ac:dyDescent="0.25">
      <c r="A85" s="249"/>
      <c r="B85" s="252"/>
      <c r="C85" s="18"/>
      <c r="D85" s="14" t="s">
        <v>834</v>
      </c>
      <c r="E85" s="42" t="s">
        <v>853</v>
      </c>
      <c r="F85" s="138" t="s">
        <v>841</v>
      </c>
      <c r="G85" s="144">
        <v>7443.53</v>
      </c>
      <c r="H85" s="43">
        <v>0</v>
      </c>
      <c r="I85" s="43">
        <f>H85/C84</f>
        <v>0</v>
      </c>
      <c r="J85" s="43">
        <f t="shared" si="21"/>
        <v>7443.53</v>
      </c>
      <c r="K85" s="172"/>
      <c r="L85" s="172"/>
      <c r="M85" s="175"/>
      <c r="N85" s="44"/>
      <c r="O85" s="44"/>
      <c r="P85" s="45" t="str">
        <f>IF(M83&lt;0.25,"PROPOSTA VÁLIDA",((IF(J85&gt;N84,"PROPOSTA FORA DOS LIMITES",IF(J85&lt;O84,"PROPOSTA FORA DOS LIMITES","PROPOSTA VÁLIDA")))))</f>
        <v>PROPOSTA VÁLIDA</v>
      </c>
      <c r="Q85" s="45">
        <f t="shared" si="22"/>
        <v>7443.53</v>
      </c>
      <c r="R85" s="187"/>
      <c r="S85" s="169"/>
    </row>
    <row r="86" spans="1:19" ht="34.15" customHeight="1" thickTop="1" x14ac:dyDescent="0.2">
      <c r="A86" s="260" t="s">
        <v>481</v>
      </c>
      <c r="B86" s="250" t="s">
        <v>667</v>
      </c>
      <c r="C86" s="9"/>
      <c r="D86" s="90" t="s">
        <v>649</v>
      </c>
      <c r="E86" s="19" t="s">
        <v>650</v>
      </c>
      <c r="F86" s="65" t="s">
        <v>818</v>
      </c>
      <c r="G86" s="142">
        <v>24214</v>
      </c>
      <c r="H86" s="21">
        <v>0</v>
      </c>
      <c r="I86" s="21">
        <f>H86/C87</f>
        <v>0</v>
      </c>
      <c r="J86" s="20">
        <f t="shared" si="21"/>
        <v>24214</v>
      </c>
      <c r="K86" s="170">
        <f>_xlfn.STDEV.S(J86:J88)</f>
        <v>11832.400320063276</v>
      </c>
      <c r="L86" s="170">
        <f>(SUM(J86:J88))/((IF(J86=0,0,1))+(IF(J87=0,0,1))+(IF(J88=0,0,1)))</f>
        <v>24847.736666666664</v>
      </c>
      <c r="M86" s="173">
        <f>K86/L86</f>
        <v>0.47619630225462295</v>
      </c>
      <c r="N86" s="37"/>
      <c r="O86" s="37"/>
      <c r="P86" s="38" t="str">
        <f>IF(M86&lt;0.25,"PROPOSTA VÁLIDA",((IF(J86&gt;N87,"PROPOSTA FORA DOS LIMITES",IF(J86&lt;O87,"PROPOSTA FORA DOS LIMITES","PROPOSTA VÁLIDA")))))</f>
        <v>PROPOSTA VÁLIDA</v>
      </c>
      <c r="Q86" s="38">
        <f t="shared" si="22"/>
        <v>24214</v>
      </c>
      <c r="R86" s="185">
        <f>IF(M86&lt;0.25,AVERAGE(Q86:Q88),((IF(J86&gt;N87,0,IF(J86&lt;O87,0,J86)))+(IF(J87&gt;N87,0,IF(J87&lt;O87,0,J87)))+(IF(J88&gt;N87,0,IF(J88&lt;O87,0,J88))))/(((IF(J86&gt;N87,0,IF(J86&lt;O87,0,1))))+((IF(J87&gt;N87,0,IF(J87&lt;O87,0,1))))+((IF(J88&gt;N87,0,IF(J88&lt;O87,0,1))))))</f>
        <v>18779.47</v>
      </c>
      <c r="S86" s="167">
        <f>IFERROR(R86*C87,"")</f>
        <v>18779.47</v>
      </c>
    </row>
    <row r="87" spans="1:19" ht="34.15" customHeight="1" x14ac:dyDescent="0.2">
      <c r="A87" s="248"/>
      <c r="B87" s="251"/>
      <c r="C87" s="17">
        <v>1</v>
      </c>
      <c r="D87" s="10" t="s">
        <v>651</v>
      </c>
      <c r="E87" s="67" t="s">
        <v>652</v>
      </c>
      <c r="F87" s="66" t="s">
        <v>839</v>
      </c>
      <c r="G87" s="143">
        <v>36984.269999999997</v>
      </c>
      <c r="H87" s="20">
        <v>0</v>
      </c>
      <c r="I87" s="20">
        <f>H87/C87</f>
        <v>0</v>
      </c>
      <c r="J87" s="20">
        <f t="shared" si="21"/>
        <v>36984.269999999997</v>
      </c>
      <c r="K87" s="171"/>
      <c r="L87" s="171"/>
      <c r="M87" s="174"/>
      <c r="N87" s="40">
        <f>IF(M86&gt;=0.25,L86+K86,"CV&lt;25%")</f>
        <v>36680.136986729936</v>
      </c>
      <c r="O87" s="40">
        <f>IF(M86&gt;=0.25,L86-K86,"CV&lt;25%")</f>
        <v>13015.336346603388</v>
      </c>
      <c r="P87" s="41" t="str">
        <f>IF(M86&lt;0.25,"PROPOSTA VÁLIDA",((IF(J87&gt;N87,"PROPOSTA FORA DOS LIMITES",IF(J87&lt;O87,"PROPOSTA FORA DOS LIMITES","PROPOSTA VÁLIDA")))))</f>
        <v>PROPOSTA FORA DOS LIMITES</v>
      </c>
      <c r="Q87" s="41">
        <f t="shared" si="22"/>
        <v>0</v>
      </c>
      <c r="R87" s="186"/>
      <c r="S87" s="168"/>
    </row>
    <row r="88" spans="1:19" ht="34.15" customHeight="1" thickBot="1" x14ac:dyDescent="0.25">
      <c r="A88" s="249"/>
      <c r="B88" s="252"/>
      <c r="C88" s="18"/>
      <c r="D88" s="14" t="s">
        <v>887</v>
      </c>
      <c r="E88" s="146" t="s">
        <v>853</v>
      </c>
      <c r="F88" s="138" t="s">
        <v>841</v>
      </c>
      <c r="G88" s="144">
        <v>13344.94</v>
      </c>
      <c r="H88" s="43">
        <v>0</v>
      </c>
      <c r="I88" s="43">
        <f>H88/C87</f>
        <v>0</v>
      </c>
      <c r="J88" s="43">
        <f t="shared" si="21"/>
        <v>13344.94</v>
      </c>
      <c r="K88" s="172"/>
      <c r="L88" s="172"/>
      <c r="M88" s="175"/>
      <c r="N88" s="44"/>
      <c r="O88" s="44"/>
      <c r="P88" s="45" t="str">
        <f>IF(M86&lt;0.25,"PROPOSTA VÁLIDA",((IF(J88&gt;N87,"PROPOSTA FORA DOS LIMITES",IF(J88&lt;O87,"PROPOSTA FORA DOS LIMITES","PROPOSTA VÁLIDA")))))</f>
        <v>PROPOSTA VÁLIDA</v>
      </c>
      <c r="Q88" s="45">
        <f t="shared" ref="Q88:Q94" si="23">(IF(P88="PROPOSTA VÁLIDA",J88,0))</f>
        <v>13344.94</v>
      </c>
      <c r="R88" s="187"/>
      <c r="S88" s="169"/>
    </row>
    <row r="89" spans="1:19" ht="47.45" customHeight="1" thickTop="1" x14ac:dyDescent="0.2">
      <c r="A89" s="260" t="s">
        <v>482</v>
      </c>
      <c r="B89" s="250" t="s">
        <v>668</v>
      </c>
      <c r="C89" s="9"/>
      <c r="D89" s="90" t="s">
        <v>649</v>
      </c>
      <c r="E89" s="19" t="s">
        <v>650</v>
      </c>
      <c r="F89" s="65" t="s">
        <v>826</v>
      </c>
      <c r="G89" s="142">
        <v>6850</v>
      </c>
      <c r="H89" s="21">
        <v>0</v>
      </c>
      <c r="I89" s="21">
        <f>H89/C90</f>
        <v>0</v>
      </c>
      <c r="J89" s="20">
        <f t="shared" si="21"/>
        <v>6850</v>
      </c>
      <c r="K89" s="170">
        <f>_xlfn.STDEV.S(J89:J91)</f>
        <v>18747.075038000814</v>
      </c>
      <c r="L89" s="170">
        <f>(SUM(J89:J91))/((IF(J89=0,0,1))+(IF(J90=0,0,1))+(IF(J91=0,0,1)))</f>
        <v>16775.683333333334</v>
      </c>
      <c r="M89" s="173">
        <f>K89/L89</f>
        <v>1.1175148377264799</v>
      </c>
      <c r="N89" s="37"/>
      <c r="O89" s="37"/>
      <c r="P89" s="38" t="str">
        <f>IF(M89&lt;0.25,"PROPOSTA VÁLIDA",((IF(J89&gt;N90,"PROPOSTA FORA DOS LIMITES",IF(J89&lt;O90,"PROPOSTA FORA DOS LIMITES","PROPOSTA VÁLIDA")))))</f>
        <v>PROPOSTA VÁLIDA</v>
      </c>
      <c r="Q89" s="38">
        <f t="shared" si="23"/>
        <v>6850</v>
      </c>
      <c r="R89" s="185">
        <f>IF(M89&lt;0.25,AVERAGE(Q89:Q91),((IF(J89&gt;N90,0,IF(J89&lt;O90,0,J89)))+(IF(J90&gt;N90,0,IF(J90&lt;O90,0,J90)))+(IF(J91&gt;N90,0,IF(J91&lt;O90,0,J91))))/(((IF(J89&gt;N90,0,IF(J89&lt;O90,0,1))))+((IF(J90&gt;N90,0,IF(J90&lt;O90,0,1))))+((IF(J91&gt;N90,0,IF(J91&lt;O90,0,1))))))</f>
        <v>5964.1450000000004</v>
      </c>
      <c r="S89" s="167">
        <f>IFERROR(R89*C90,"")</f>
        <v>5964.1450000000004</v>
      </c>
    </row>
    <row r="90" spans="1:19" ht="47.45" customHeight="1" x14ac:dyDescent="0.2">
      <c r="A90" s="248"/>
      <c r="B90" s="251"/>
      <c r="C90" s="17">
        <v>1</v>
      </c>
      <c r="D90" s="10" t="s">
        <v>651</v>
      </c>
      <c r="E90" s="67" t="s">
        <v>652</v>
      </c>
      <c r="F90" s="66" t="s">
        <v>839</v>
      </c>
      <c r="G90" s="143">
        <v>38398.76</v>
      </c>
      <c r="H90" s="20">
        <v>0</v>
      </c>
      <c r="I90" s="20">
        <f>H90/C90</f>
        <v>0</v>
      </c>
      <c r="J90" s="20">
        <f t="shared" si="21"/>
        <v>38398.76</v>
      </c>
      <c r="K90" s="171"/>
      <c r="L90" s="171"/>
      <c r="M90" s="174"/>
      <c r="N90" s="40">
        <f>IF(M89&gt;=0.25,L89+K89,"CV&lt;25%")</f>
        <v>35522.758371334145</v>
      </c>
      <c r="O90" s="40">
        <f>IF(M89&gt;=0.25,L89-K89,"CV&lt;25%")</f>
        <v>-1971.3917046674796</v>
      </c>
      <c r="P90" s="41" t="str">
        <f>IF(M89&lt;0.25,"PROPOSTA VÁLIDA",((IF(J90&gt;N90,"PROPOSTA FORA DOS LIMITES",IF(J90&lt;O90,"PROPOSTA FORA DOS LIMITES","PROPOSTA VÁLIDA")))))</f>
        <v>PROPOSTA FORA DOS LIMITES</v>
      </c>
      <c r="Q90" s="41">
        <f t="shared" si="23"/>
        <v>0</v>
      </c>
      <c r="R90" s="186"/>
      <c r="S90" s="168"/>
    </row>
    <row r="91" spans="1:19" ht="47.45" customHeight="1" thickBot="1" x14ac:dyDescent="0.25">
      <c r="A91" s="249"/>
      <c r="B91" s="252"/>
      <c r="C91" s="18"/>
      <c r="D91" s="14" t="s">
        <v>834</v>
      </c>
      <c r="E91" s="146" t="s">
        <v>853</v>
      </c>
      <c r="F91" s="138" t="s">
        <v>841</v>
      </c>
      <c r="G91" s="144">
        <v>5078.29</v>
      </c>
      <c r="H91" s="43">
        <v>0</v>
      </c>
      <c r="I91" s="43">
        <f>H91/C90</f>
        <v>0</v>
      </c>
      <c r="J91" s="43">
        <f t="shared" si="21"/>
        <v>5078.29</v>
      </c>
      <c r="K91" s="172"/>
      <c r="L91" s="172"/>
      <c r="M91" s="175"/>
      <c r="N91" s="44"/>
      <c r="O91" s="44"/>
      <c r="P91" s="45" t="str">
        <f>IF(M89&lt;0.25,"PROPOSTA VÁLIDA",((IF(J91&gt;N90,"PROPOSTA FORA DOS LIMITES",IF(J91&lt;O90,"PROPOSTA FORA DOS LIMITES","PROPOSTA VÁLIDA")))))</f>
        <v>PROPOSTA VÁLIDA</v>
      </c>
      <c r="Q91" s="45">
        <f t="shared" si="23"/>
        <v>5078.29</v>
      </c>
      <c r="R91" s="187"/>
      <c r="S91" s="169"/>
    </row>
    <row r="92" spans="1:19" ht="34.15" customHeight="1" thickTop="1" x14ac:dyDescent="0.2">
      <c r="A92" s="247" t="s">
        <v>483</v>
      </c>
      <c r="B92" s="250" t="s">
        <v>658</v>
      </c>
      <c r="C92" s="9"/>
      <c r="D92" s="36" t="s">
        <v>870</v>
      </c>
      <c r="E92" s="19" t="s">
        <v>869</v>
      </c>
      <c r="F92" s="156" t="s">
        <v>868</v>
      </c>
      <c r="G92" s="142">
        <v>256898.17</v>
      </c>
      <c r="H92" s="21">
        <v>0</v>
      </c>
      <c r="I92" s="21">
        <f>H92/C93</f>
        <v>0</v>
      </c>
      <c r="J92" s="21">
        <f t="shared" ref="J92:J94" si="24">G92+I92</f>
        <v>256898.17</v>
      </c>
      <c r="K92" s="170">
        <f>_xlfn.STDEV.S(J92:J94)</f>
        <v>148320.22760382225</v>
      </c>
      <c r="L92" s="170">
        <f>(SUM(J92:J94))/((IF(J92=0,0,1))+(IF(J93=0,0,1))+(IF(J94=0,0,1)))</f>
        <v>256898.17</v>
      </c>
      <c r="M92" s="173">
        <f>K92/L92</f>
        <v>0.57735026918962573</v>
      </c>
      <c r="N92" s="37"/>
      <c r="O92" s="37"/>
      <c r="P92" s="38" t="str">
        <f>IF(M92&lt;0.25,"PROPOSTA VÁLIDA",((IF(J92&gt;N93,"PROPOSTA FORA DOS LIMITES",IF(J92&lt;O93,"PROPOSTA FORA DOS LIMITES","PROPOSTA VÁLIDA")))))</f>
        <v>PROPOSTA VÁLIDA</v>
      </c>
      <c r="Q92" s="38">
        <f t="shared" si="23"/>
        <v>256898.17</v>
      </c>
      <c r="R92" s="185">
        <f>IF(M92&lt;0.25,AVERAGE(Q92:Q94),((IF(J92&gt;N93,0,IF(J92&lt;O93,0,J92)))+(IF(J93&gt;N93,0,IF(J93&lt;O93,0,J93)))+(IF(J94&gt;N93,0,IF(J94&lt;O93,0,J94))))/(((IF(J92&gt;N93,0,IF(J92&lt;O93,0,1))))+((IF(J93&gt;N93,0,IF(J93&lt;O93,0,1))))+((IF(J94&gt;N93,0,IF(J94&lt;O93,0,1))))))</f>
        <v>256898.17</v>
      </c>
      <c r="S92" s="167">
        <f>IFERROR(R92*C93,"")</f>
        <v>256898.17</v>
      </c>
    </row>
    <row r="93" spans="1:19" ht="34.15" customHeight="1" x14ac:dyDescent="0.2">
      <c r="A93" s="248"/>
      <c r="B93" s="251"/>
      <c r="C93" s="17">
        <v>1</v>
      </c>
      <c r="D93" s="97"/>
      <c r="E93" s="39"/>
      <c r="F93" s="66"/>
      <c r="G93" s="143"/>
      <c r="H93" s="20">
        <v>0</v>
      </c>
      <c r="I93" s="20">
        <f>H93/C93</f>
        <v>0</v>
      </c>
      <c r="J93" s="20">
        <f t="shared" si="24"/>
        <v>0</v>
      </c>
      <c r="K93" s="171"/>
      <c r="L93" s="171"/>
      <c r="M93" s="174"/>
      <c r="N93" s="40">
        <f>IF(M92&gt;=0.25,L92+K92,"CV&lt;25%")</f>
        <v>405218.39760382229</v>
      </c>
      <c r="O93" s="40">
        <f>IF(M92&gt;=0.25,L92-K92,"CV&lt;25%")</f>
        <v>108577.94239617776</v>
      </c>
      <c r="P93" s="41" t="str">
        <f>IF(M92&lt;0.25,"PROPOSTA VÁLIDA",((IF(J93&gt;N93,"PROPOSTA FORA DOS LIMITES",IF(J93&lt;O93,"PROPOSTA FORA DOS LIMITES","PROPOSTA VÁLIDA")))))</f>
        <v>PROPOSTA FORA DOS LIMITES</v>
      </c>
      <c r="Q93" s="41">
        <f t="shared" si="23"/>
        <v>0</v>
      </c>
      <c r="R93" s="186"/>
      <c r="S93" s="168"/>
    </row>
    <row r="94" spans="1:19" ht="34.15" customHeight="1" thickBot="1" x14ac:dyDescent="0.25">
      <c r="A94" s="249"/>
      <c r="B94" s="252"/>
      <c r="C94" s="18"/>
      <c r="D94" s="14"/>
      <c r="E94" s="42"/>
      <c r="F94" s="138"/>
      <c r="G94" s="144"/>
      <c r="H94" s="43">
        <v>0</v>
      </c>
      <c r="I94" s="43">
        <f>H94/C93</f>
        <v>0</v>
      </c>
      <c r="J94" s="43">
        <f t="shared" si="24"/>
        <v>0</v>
      </c>
      <c r="K94" s="172"/>
      <c r="L94" s="172"/>
      <c r="M94" s="175"/>
      <c r="N94" s="44"/>
      <c r="O94" s="44"/>
      <c r="P94" s="45" t="str">
        <f>IF(M92&lt;0.25,"PROPOSTA VÁLIDA",((IF(J94&gt;N93,"PROPOSTA FORA DOS LIMITES",IF(J94&lt;O93,"PROPOSTA FORA DOS LIMITES","PROPOSTA VÁLIDA")))))</f>
        <v>PROPOSTA FORA DOS LIMITES</v>
      </c>
      <c r="Q94" s="45">
        <f t="shared" si="23"/>
        <v>0</v>
      </c>
      <c r="R94" s="187"/>
      <c r="S94" s="169"/>
    </row>
    <row r="95" spans="1:19" ht="47.45" customHeight="1" thickTop="1" x14ac:dyDescent="0.2">
      <c r="A95" s="247" t="s">
        <v>673</v>
      </c>
      <c r="B95" s="261" t="s">
        <v>907</v>
      </c>
      <c r="C95" s="9"/>
      <c r="D95" s="36" t="s">
        <v>908</v>
      </c>
      <c r="E95" s="19" t="s">
        <v>905</v>
      </c>
      <c r="F95" s="36" t="s">
        <v>906</v>
      </c>
      <c r="G95" s="142">
        <v>3433.06</v>
      </c>
      <c r="H95" s="21">
        <v>0</v>
      </c>
      <c r="I95" s="21">
        <f>H95/C96</f>
        <v>0</v>
      </c>
      <c r="J95" s="21">
        <f t="shared" ref="J95:J109" si="25">G95+I95</f>
        <v>3433.06</v>
      </c>
      <c r="K95" s="170">
        <f>_xlfn.STDEV.S(J95:J97)</f>
        <v>1119.3259311895417</v>
      </c>
      <c r="L95" s="170">
        <f>(SUM(J95:J97))/((IF(J95=0,0,1))+(IF(J96=0,0,1))+(IF(J97=0,0,1)))</f>
        <v>2798.7433333333333</v>
      </c>
      <c r="M95" s="173">
        <f>K95/L95</f>
        <v>0.3999387574624117</v>
      </c>
      <c r="N95" s="37"/>
      <c r="O95" s="37"/>
      <c r="P95" s="38" t="str">
        <f>IF(M95&lt;0.25,"PROPOSTA VÁLIDA",((IF(J95&gt;N96,"PROPOSTA FORA DOS LIMITES",IF(J95&lt;O96,"PROPOSTA FORA DOS LIMITES","PROPOSTA VÁLIDA")))))</f>
        <v>PROPOSTA VÁLIDA</v>
      </c>
      <c r="Q95" s="38">
        <f t="shared" ref="Q95:Q109" si="26">(IF(P95="PROPOSTA VÁLIDA",J95,0))</f>
        <v>3433.06</v>
      </c>
      <c r="R95" s="185">
        <f>IF(M95&lt;0.25,AVERAGE(Q95:Q97),((IF(J95&gt;N96,0,IF(J95&lt;O96,0,J95)))+(IF(J96&gt;N96,0,IF(J96&lt;O96,0,J96)))+(IF(J97&gt;N96,0,IF(J97&lt;O96,0,J97))))/(((IF(J95&gt;N96,0,IF(J95&lt;O96,0,1))))+((IF(J96&gt;N96,0,IF(J96&lt;O96,0,1))))+((IF(J97&gt;N96,0,IF(J97&lt;O96,0,1))))))</f>
        <v>3444.95</v>
      </c>
      <c r="S95" s="167">
        <f>IFERROR(R95*C96,"")</f>
        <v>253823.916</v>
      </c>
    </row>
    <row r="96" spans="1:19" ht="47.45" customHeight="1" x14ac:dyDescent="0.2">
      <c r="A96" s="248"/>
      <c r="B96" s="262"/>
      <c r="C96" s="17">
        <v>73.680000000000007</v>
      </c>
      <c r="D96" s="10" t="s">
        <v>815</v>
      </c>
      <c r="E96" s="67" t="s">
        <v>880</v>
      </c>
      <c r="F96" s="157" t="s">
        <v>816</v>
      </c>
      <c r="G96" s="143">
        <v>3456.84</v>
      </c>
      <c r="H96" s="20">
        <v>0</v>
      </c>
      <c r="I96" s="20">
        <f>H96/C96</f>
        <v>0</v>
      </c>
      <c r="J96" s="20">
        <f t="shared" si="25"/>
        <v>3456.84</v>
      </c>
      <c r="K96" s="171"/>
      <c r="L96" s="171"/>
      <c r="M96" s="174"/>
      <c r="N96" s="40">
        <f>IF(M95&gt;=0.25,L95+K95,"CV&lt;25%")</f>
        <v>3918.0692645228751</v>
      </c>
      <c r="O96" s="40">
        <f>IF(M95&gt;=0.25,L95-K95,"CV&lt;25%")</f>
        <v>1679.4174021437916</v>
      </c>
      <c r="P96" s="41" t="str">
        <f>IF(M95&lt;0.25,"PROPOSTA VÁLIDA",((IF(J96&gt;N96,"PROPOSTA FORA DOS LIMITES",IF(J96&lt;O96,"PROPOSTA FORA DOS LIMITES","PROPOSTA VÁLIDA")))))</f>
        <v>PROPOSTA VÁLIDA</v>
      </c>
      <c r="Q96" s="41">
        <f t="shared" si="26"/>
        <v>3456.84</v>
      </c>
      <c r="R96" s="186"/>
      <c r="S96" s="168"/>
    </row>
    <row r="97" spans="1:19" ht="47.45" customHeight="1" thickBot="1" x14ac:dyDescent="0.25">
      <c r="A97" s="249"/>
      <c r="B97" s="263"/>
      <c r="C97" s="18"/>
      <c r="D97" s="14" t="s">
        <v>817</v>
      </c>
      <c r="E97" s="42"/>
      <c r="F97" s="158" t="s">
        <v>848</v>
      </c>
      <c r="G97" s="144">
        <v>1506.33</v>
      </c>
      <c r="H97" s="43">
        <v>0</v>
      </c>
      <c r="I97" s="43">
        <f>H97/C96</f>
        <v>0</v>
      </c>
      <c r="J97" s="43">
        <f t="shared" si="25"/>
        <v>1506.33</v>
      </c>
      <c r="K97" s="172"/>
      <c r="L97" s="172"/>
      <c r="M97" s="175"/>
      <c r="N97" s="44"/>
      <c r="O97" s="44"/>
      <c r="P97" s="45" t="str">
        <f>IF(M95&lt;0.25,"PROPOSTA VÁLIDA",((IF(J97&gt;N96,"PROPOSTA FORA DOS LIMITES",IF(J97&lt;O96,"PROPOSTA FORA DOS LIMITES","PROPOSTA VÁLIDA")))))</f>
        <v>PROPOSTA FORA DOS LIMITES</v>
      </c>
      <c r="Q97" s="45">
        <f t="shared" si="26"/>
        <v>0</v>
      </c>
      <c r="R97" s="187"/>
      <c r="S97" s="169"/>
    </row>
    <row r="98" spans="1:19" ht="51" customHeight="1" thickTop="1" x14ac:dyDescent="0.2">
      <c r="A98" s="247" t="s">
        <v>674</v>
      </c>
      <c r="B98" s="250" t="s">
        <v>884</v>
      </c>
      <c r="C98" s="9"/>
      <c r="D98" s="139" t="s">
        <v>849</v>
      </c>
      <c r="E98" s="140" t="s">
        <v>882</v>
      </c>
      <c r="F98" s="160" t="s">
        <v>881</v>
      </c>
      <c r="G98" s="145">
        <v>2383.58</v>
      </c>
      <c r="H98" s="21">
        <v>0</v>
      </c>
      <c r="I98" s="21">
        <f>H98/C99</f>
        <v>0</v>
      </c>
      <c r="J98" s="21">
        <f t="shared" si="25"/>
        <v>2383.58</v>
      </c>
      <c r="K98" s="170">
        <f>_xlfn.STDEV.S(J98:J100)</f>
        <v>1434.2576059178966</v>
      </c>
      <c r="L98" s="170">
        <f>(SUM(J98:J100))/((IF(J98=0,0,1))+(IF(J99=0,0,1))+(IF(J100=0,0,1)))</f>
        <v>3193.9866666666662</v>
      </c>
      <c r="M98" s="173">
        <f>K98/L98</f>
        <v>0.44904934040151395</v>
      </c>
      <c r="N98" s="37"/>
      <c r="O98" s="37"/>
      <c r="P98" s="38" t="str">
        <f>IF(M98&lt;0.25,"PROPOSTA VÁLIDA",((IF(J98&gt;N99,"PROPOSTA FORA DOS LIMITES",IF(J98&lt;O99,"PROPOSTA FORA DOS LIMITES","PROPOSTA VÁLIDA")))))</f>
        <v>PROPOSTA VÁLIDA</v>
      </c>
      <c r="Q98" s="38">
        <f t="shared" si="26"/>
        <v>2383.58</v>
      </c>
      <c r="R98" s="185">
        <f>IF(M98&lt;0.25,AVERAGE(Q98:Q100),((IF(J98&gt;N99,0,IF(J98&lt;O99,0,J98)))+(IF(J99&gt;N99,0,IF(J99&lt;O99,0,J99)))+(IF(J100&gt;N99,0,IF(J100&lt;O99,0,J100))))/(((IF(J98&gt;N99,0,IF(J98&lt;O99,0,1))))+((IF(J99&gt;N99,0,IF(J99&lt;O99,0,1))))+((IF(J100&gt;N99,0,IF(J100&lt;O99,0,1))))))</f>
        <v>2365.98</v>
      </c>
      <c r="S98" s="167">
        <f>IFERROR(R98*C99,"")</f>
        <v>92273.22</v>
      </c>
    </row>
    <row r="99" spans="1:19" ht="48.6" customHeight="1" x14ac:dyDescent="0.2">
      <c r="A99" s="248"/>
      <c r="B99" s="251"/>
      <c r="C99" s="17">
        <v>39</v>
      </c>
      <c r="D99" s="10" t="s">
        <v>815</v>
      </c>
      <c r="E99" s="67" t="s">
        <v>880</v>
      </c>
      <c r="F99" s="159" t="s">
        <v>816</v>
      </c>
      <c r="G99" s="143">
        <v>4850</v>
      </c>
      <c r="H99" s="20">
        <v>0</v>
      </c>
      <c r="I99" s="20">
        <f>H99/C99</f>
        <v>0</v>
      </c>
      <c r="J99" s="20">
        <f t="shared" si="25"/>
        <v>4850</v>
      </c>
      <c r="K99" s="171"/>
      <c r="L99" s="171"/>
      <c r="M99" s="174"/>
      <c r="N99" s="40">
        <f>IF(M98&gt;=0.25,L98+K98,"CV&lt;25%")</f>
        <v>4628.2442725845631</v>
      </c>
      <c r="O99" s="40">
        <f>IF(M98&gt;=0.25,L98-K98,"CV&lt;25%")</f>
        <v>1759.7290607487696</v>
      </c>
      <c r="P99" s="41" t="str">
        <f>IF(M98&lt;0.25,"PROPOSTA VÁLIDA",((IF(J99&gt;N99,"PROPOSTA FORA DOS LIMITES",IF(J99&lt;O99,"PROPOSTA FORA DOS LIMITES","PROPOSTA VÁLIDA")))))</f>
        <v>PROPOSTA FORA DOS LIMITES</v>
      </c>
      <c r="Q99" s="41">
        <f t="shared" si="26"/>
        <v>0</v>
      </c>
      <c r="R99" s="186"/>
      <c r="S99" s="168"/>
    </row>
    <row r="100" spans="1:19" ht="48.6" customHeight="1" thickBot="1" x14ac:dyDescent="0.25">
      <c r="A100" s="249"/>
      <c r="B100" s="252"/>
      <c r="C100" s="18"/>
      <c r="D100" s="10" t="s">
        <v>892</v>
      </c>
      <c r="E100" s="42" t="s">
        <v>894</v>
      </c>
      <c r="F100" s="157" t="s">
        <v>893</v>
      </c>
      <c r="G100" s="143">
        <v>2348.38</v>
      </c>
      <c r="H100" s="43">
        <v>0</v>
      </c>
      <c r="I100" s="43">
        <f>H100/C99</f>
        <v>0</v>
      </c>
      <c r="J100" s="43">
        <f t="shared" si="25"/>
        <v>2348.38</v>
      </c>
      <c r="K100" s="172"/>
      <c r="L100" s="172"/>
      <c r="M100" s="175"/>
      <c r="N100" s="44"/>
      <c r="O100" s="44"/>
      <c r="P100" s="45" t="str">
        <f>IF(M98&lt;0.25,"PROPOSTA VÁLIDA",((IF(J100&gt;N99,"PROPOSTA FORA DOS LIMITES",IF(J100&lt;O99,"PROPOSTA FORA DOS LIMITES","PROPOSTA VÁLIDA")))))</f>
        <v>PROPOSTA VÁLIDA</v>
      </c>
      <c r="Q100" s="45">
        <f t="shared" si="26"/>
        <v>2348.38</v>
      </c>
      <c r="R100" s="187"/>
      <c r="S100" s="169"/>
    </row>
    <row r="101" spans="1:19" ht="47.45" customHeight="1" thickTop="1" x14ac:dyDescent="0.2">
      <c r="A101" s="247" t="s">
        <v>910</v>
      </c>
      <c r="B101" s="250" t="s">
        <v>909</v>
      </c>
      <c r="C101" s="161"/>
      <c r="D101" s="135" t="s">
        <v>908</v>
      </c>
      <c r="E101" s="19" t="s">
        <v>905</v>
      </c>
      <c r="F101" s="36" t="s">
        <v>906</v>
      </c>
      <c r="G101" s="142">
        <v>9882.75</v>
      </c>
      <c r="H101" s="21">
        <v>0</v>
      </c>
      <c r="I101" s="21">
        <f>H101/C102</f>
        <v>0</v>
      </c>
      <c r="J101" s="21">
        <f t="shared" ref="J101:J103" si="27">G101+I101</f>
        <v>9882.75</v>
      </c>
      <c r="K101" s="170">
        <f>_xlfn.STDEV.S(J101:J103)</f>
        <v>2981.8478851712084</v>
      </c>
      <c r="L101" s="170">
        <f>(SUM(J101:J103))/((IF(J101=0,0,1))+(IF(J102=0,0,1))+(IF(J103=0,0,1)))</f>
        <v>7189.2599999999993</v>
      </c>
      <c r="M101" s="173">
        <f>K101/L101</f>
        <v>0.41476422958290682</v>
      </c>
      <c r="N101" s="37"/>
      <c r="O101" s="37"/>
      <c r="P101" s="38" t="str">
        <f>IF(M101&lt;0.25,"PROPOSTA VÁLIDA",((IF(J101&gt;N102,"PROPOSTA FORA DOS LIMITES",IF(J101&lt;O102,"PROPOSTA FORA DOS LIMITES","PROPOSTA VÁLIDA")))))</f>
        <v>PROPOSTA VÁLIDA</v>
      </c>
      <c r="Q101" s="38">
        <f t="shared" ref="Q101:Q103" si="28">(IF(P101="PROPOSTA VÁLIDA",J101,0))</f>
        <v>9882.75</v>
      </c>
      <c r="R101" s="185">
        <f>IF(M101&lt;0.25,AVERAGE(Q101:Q103),((IF(J101&gt;N102,0,IF(J101&lt;O102,0,J101)))+(IF(J102&gt;N102,0,IF(J102&lt;O102,0,J102)))+(IF(J103&gt;N102,0,IF(J103&lt;O102,0,J103))))/(((IF(J101&gt;N102,0,IF(J101&lt;O102,0,1))))+((IF(J102&gt;N102,0,IF(J102&lt;O102,0,1))))+((IF(J103&gt;N102,0,IF(J103&lt;O102,0,1))))))</f>
        <v>8791.375</v>
      </c>
      <c r="S101" s="167">
        <f>IFERROR(R101*C102,"")</f>
        <v>123079.25</v>
      </c>
    </row>
    <row r="102" spans="1:19" ht="47.45" customHeight="1" x14ac:dyDescent="0.2">
      <c r="A102" s="248"/>
      <c r="B102" s="251"/>
      <c r="C102" s="162">
        <v>14</v>
      </c>
      <c r="D102" s="141" t="s">
        <v>815</v>
      </c>
      <c r="E102" s="67" t="s">
        <v>880</v>
      </c>
      <c r="F102" s="157" t="s">
        <v>816</v>
      </c>
      <c r="G102" s="143">
        <v>7700</v>
      </c>
      <c r="H102" s="20">
        <v>0</v>
      </c>
      <c r="I102" s="20">
        <f>H102/C102</f>
        <v>0</v>
      </c>
      <c r="J102" s="20">
        <f t="shared" si="27"/>
        <v>7700</v>
      </c>
      <c r="K102" s="171"/>
      <c r="L102" s="171"/>
      <c r="M102" s="174"/>
      <c r="N102" s="40">
        <f>IF(M101&gt;=0.25,L101+K101,"CV&lt;25%")</f>
        <v>10171.107885171208</v>
      </c>
      <c r="O102" s="40">
        <f>IF(M101&gt;=0.25,L101-K101,"CV&lt;25%")</f>
        <v>4207.4121148287904</v>
      </c>
      <c r="P102" s="41" t="str">
        <f>IF(M101&lt;0.25,"PROPOSTA VÁLIDA",((IF(J102&gt;N102,"PROPOSTA FORA DOS LIMITES",IF(J102&lt;O102,"PROPOSTA FORA DOS LIMITES","PROPOSTA VÁLIDA")))))</f>
        <v>PROPOSTA VÁLIDA</v>
      </c>
      <c r="Q102" s="41">
        <f t="shared" si="28"/>
        <v>7700</v>
      </c>
      <c r="R102" s="186"/>
      <c r="S102" s="168"/>
    </row>
    <row r="103" spans="1:19" ht="47.45" customHeight="1" thickBot="1" x14ac:dyDescent="0.25">
      <c r="A103" s="249"/>
      <c r="B103" s="252"/>
      <c r="C103" s="163"/>
      <c r="D103" s="128" t="s">
        <v>817</v>
      </c>
      <c r="E103" s="42" t="s">
        <v>883</v>
      </c>
      <c r="F103" s="158" t="s">
        <v>848</v>
      </c>
      <c r="G103" s="144">
        <v>3985.03</v>
      </c>
      <c r="H103" s="43">
        <v>0</v>
      </c>
      <c r="I103" s="43">
        <f>H103/C102</f>
        <v>0</v>
      </c>
      <c r="J103" s="43">
        <f t="shared" si="27"/>
        <v>3985.03</v>
      </c>
      <c r="K103" s="172"/>
      <c r="L103" s="172"/>
      <c r="M103" s="175"/>
      <c r="N103" s="44"/>
      <c r="O103" s="44"/>
      <c r="P103" s="45" t="str">
        <f>IF(M101&lt;0.25,"PROPOSTA VÁLIDA",((IF(J103&gt;N102,"PROPOSTA FORA DOS LIMITES",IF(J103&lt;O102,"PROPOSTA FORA DOS LIMITES","PROPOSTA VÁLIDA")))))</f>
        <v>PROPOSTA FORA DOS LIMITES</v>
      </c>
      <c r="Q103" s="45">
        <f t="shared" si="28"/>
        <v>0</v>
      </c>
      <c r="R103" s="187"/>
      <c r="S103" s="169"/>
    </row>
    <row r="104" spans="1:19" ht="19.899999999999999" customHeight="1" thickTop="1" x14ac:dyDescent="0.2">
      <c r="A104" s="247" t="s">
        <v>683</v>
      </c>
      <c r="B104" s="250" t="s">
        <v>682</v>
      </c>
      <c r="C104" s="9"/>
      <c r="D104" s="36" t="s">
        <v>678</v>
      </c>
      <c r="E104" s="19" t="s">
        <v>677</v>
      </c>
      <c r="F104" s="36" t="s">
        <v>679</v>
      </c>
      <c r="G104" s="142">
        <v>6015</v>
      </c>
      <c r="H104" s="21">
        <v>0</v>
      </c>
      <c r="I104" s="21">
        <f>H104/C105</f>
        <v>0</v>
      </c>
      <c r="J104" s="21">
        <f t="shared" si="25"/>
        <v>6015</v>
      </c>
      <c r="K104" s="170">
        <f>_xlfn.STDEV.S(J104:J106)</f>
        <v>3472.7618691755988</v>
      </c>
      <c r="L104" s="170">
        <f>(SUM(J104:J106))/((IF(J104=0,0,1))+(IF(J105=0,0,1))+(IF(J106=0,0,1)))</f>
        <v>6015</v>
      </c>
      <c r="M104" s="173">
        <f>K104/L104</f>
        <v>0.57735026918962573</v>
      </c>
      <c r="N104" s="37"/>
      <c r="O104" s="37"/>
      <c r="P104" s="38" t="str">
        <f>IF(M104&lt;0.25,"PROPOSTA VÁLIDA",((IF(J104&gt;N105,"PROPOSTA FORA DOS LIMITES",IF(J104&lt;O105,"PROPOSTA FORA DOS LIMITES","PROPOSTA VÁLIDA")))))</f>
        <v>PROPOSTA VÁLIDA</v>
      </c>
      <c r="Q104" s="38">
        <f t="shared" si="26"/>
        <v>6015</v>
      </c>
      <c r="R104" s="185">
        <f>IF(M104&lt;0.25,AVERAGE(Q104:Q106),((IF(J104&gt;N105,0,IF(J104&lt;O105,0,J104)))+(IF(J105&gt;N105,0,IF(J105&lt;O105,0,J105)))+(IF(J106&gt;N105,0,IF(J106&lt;O105,0,J106))))/(((IF(J104&gt;N105,0,IF(J104&lt;O105,0,1))))+((IF(J105&gt;N105,0,IF(J105&lt;O105,0,1))))+((IF(J106&gt;N105,0,IF(J106&lt;O105,0,1))))))</f>
        <v>6015</v>
      </c>
      <c r="S104" s="167">
        <f>IFERROR(R104*C105,"")</f>
        <v>12030</v>
      </c>
    </row>
    <row r="105" spans="1:19" ht="19.899999999999999" customHeight="1" x14ac:dyDescent="0.2">
      <c r="A105" s="248"/>
      <c r="B105" s="251"/>
      <c r="C105" s="17">
        <v>2</v>
      </c>
      <c r="D105" s="10"/>
      <c r="E105" s="39"/>
      <c r="F105" s="66"/>
      <c r="G105" s="143"/>
      <c r="H105" s="20"/>
      <c r="I105" s="20">
        <f>H105/C105</f>
        <v>0</v>
      </c>
      <c r="J105" s="20">
        <f t="shared" si="25"/>
        <v>0</v>
      </c>
      <c r="K105" s="171"/>
      <c r="L105" s="171"/>
      <c r="M105" s="174"/>
      <c r="N105" s="40">
        <f>IF(M104&gt;=0.25,L104+K104,"CV&lt;25%")</f>
        <v>9487.7618691755997</v>
      </c>
      <c r="O105" s="40">
        <f>IF(M104&gt;=0.25,L104-K104,"CV&lt;25%")</f>
        <v>2542.2381308244012</v>
      </c>
      <c r="P105" s="41" t="str">
        <f>IF(M104&lt;0.25,"PROPOSTA VÁLIDA",((IF(J105&gt;N105,"PROPOSTA FORA DOS LIMITES",IF(J105&lt;O105,"PROPOSTA FORA DOS LIMITES","PROPOSTA VÁLIDA")))))</f>
        <v>PROPOSTA FORA DOS LIMITES</v>
      </c>
      <c r="Q105" s="41">
        <f t="shared" si="26"/>
        <v>0</v>
      </c>
      <c r="R105" s="186"/>
      <c r="S105" s="168"/>
    </row>
    <row r="106" spans="1:19" ht="19.899999999999999" customHeight="1" thickBot="1" x14ac:dyDescent="0.25">
      <c r="A106" s="249"/>
      <c r="B106" s="252"/>
      <c r="C106" s="18"/>
      <c r="D106" s="14"/>
      <c r="E106" s="42"/>
      <c r="F106" s="138"/>
      <c r="G106" s="144"/>
      <c r="H106" s="43"/>
      <c r="I106" s="43">
        <f>H106/C105</f>
        <v>0</v>
      </c>
      <c r="J106" s="43">
        <f t="shared" si="25"/>
        <v>0</v>
      </c>
      <c r="K106" s="172"/>
      <c r="L106" s="172"/>
      <c r="M106" s="175"/>
      <c r="N106" s="44"/>
      <c r="O106" s="44"/>
      <c r="P106" s="45" t="str">
        <f>IF(M104&lt;0.25,"PROPOSTA VÁLIDA",((IF(J106&gt;N105,"PROPOSTA FORA DOS LIMITES",IF(J106&lt;O105,"PROPOSTA FORA DOS LIMITES","PROPOSTA VÁLIDA")))))</f>
        <v>PROPOSTA FORA DOS LIMITES</v>
      </c>
      <c r="Q106" s="45">
        <f t="shared" si="26"/>
        <v>0</v>
      </c>
      <c r="R106" s="187"/>
      <c r="S106" s="169"/>
    </row>
    <row r="107" spans="1:19" ht="19.899999999999999" customHeight="1" thickTop="1" x14ac:dyDescent="0.2">
      <c r="A107" s="247" t="s">
        <v>684</v>
      </c>
      <c r="B107" s="250" t="s">
        <v>685</v>
      </c>
      <c r="C107" s="9"/>
      <c r="D107" s="36" t="s">
        <v>678</v>
      </c>
      <c r="E107" s="19" t="s">
        <v>677</v>
      </c>
      <c r="F107" s="36" t="s">
        <v>679</v>
      </c>
      <c r="G107" s="142">
        <v>6395</v>
      </c>
      <c r="H107" s="21">
        <v>0</v>
      </c>
      <c r="I107" s="21">
        <f>H107/C108</f>
        <v>0</v>
      </c>
      <c r="J107" s="21">
        <f t="shared" si="25"/>
        <v>6395</v>
      </c>
      <c r="K107" s="170">
        <f>_xlfn.STDEV.S(J107:J109)</f>
        <v>3692.1549714676567</v>
      </c>
      <c r="L107" s="170">
        <f>(SUM(J107:J109))/((IF(J107=0,0,1))+(IF(J108=0,0,1))+(IF(J109=0,0,1)))</f>
        <v>6395</v>
      </c>
      <c r="M107" s="173">
        <f>K107/L107</f>
        <v>0.57735026918962573</v>
      </c>
      <c r="N107" s="37"/>
      <c r="O107" s="37"/>
      <c r="P107" s="38" t="str">
        <f>IF(M107&lt;0.25,"PROPOSTA VÁLIDA",((IF(J107&gt;N108,"PROPOSTA FORA DOS LIMITES",IF(J107&lt;O108,"PROPOSTA FORA DOS LIMITES","PROPOSTA VÁLIDA")))))</f>
        <v>PROPOSTA VÁLIDA</v>
      </c>
      <c r="Q107" s="38">
        <f t="shared" si="26"/>
        <v>6395</v>
      </c>
      <c r="R107" s="185">
        <f>IF(M107&lt;0.25,AVERAGE(Q107:Q109),((IF(J107&gt;N108,0,IF(J107&lt;O108,0,J107)))+(IF(J108&gt;N108,0,IF(J108&lt;O108,0,J108)))+(IF(J109&gt;N108,0,IF(J109&lt;O108,0,J109))))/(((IF(J107&gt;N108,0,IF(J107&lt;O108,0,1))))+((IF(J108&gt;N108,0,IF(J108&lt;O108,0,1))))+((IF(J109&gt;N108,0,IF(J109&lt;O108,0,1))))))</f>
        <v>6395</v>
      </c>
      <c r="S107" s="167">
        <f>IFERROR(R107*C108,"")</f>
        <v>38370</v>
      </c>
    </row>
    <row r="108" spans="1:19" ht="19.899999999999999" customHeight="1" x14ac:dyDescent="0.2">
      <c r="A108" s="248"/>
      <c r="B108" s="251"/>
      <c r="C108" s="17">
        <v>6</v>
      </c>
      <c r="D108" s="10"/>
      <c r="E108" s="39"/>
      <c r="F108" s="66"/>
      <c r="G108" s="143"/>
      <c r="H108" s="20"/>
      <c r="I108" s="20">
        <f>H108/C108</f>
        <v>0</v>
      </c>
      <c r="J108" s="20">
        <f t="shared" si="25"/>
        <v>0</v>
      </c>
      <c r="K108" s="171"/>
      <c r="L108" s="171"/>
      <c r="M108" s="174"/>
      <c r="N108" s="40">
        <f>IF(M107&gt;=0.25,L107+K107,"CV&lt;25%")</f>
        <v>10087.154971467657</v>
      </c>
      <c r="O108" s="40">
        <f>IF(M107&gt;=0.25,L107-K107,"CV&lt;25%")</f>
        <v>2702.8450285323433</v>
      </c>
      <c r="P108" s="41" t="str">
        <f>IF(M107&lt;0.25,"PROPOSTA VÁLIDA",((IF(J108&gt;N108,"PROPOSTA FORA DOS LIMITES",IF(J108&lt;O108,"PROPOSTA FORA DOS LIMITES","PROPOSTA VÁLIDA")))))</f>
        <v>PROPOSTA FORA DOS LIMITES</v>
      </c>
      <c r="Q108" s="41">
        <f t="shared" si="26"/>
        <v>0</v>
      </c>
      <c r="R108" s="186"/>
      <c r="S108" s="168"/>
    </row>
    <row r="109" spans="1:19" ht="19.899999999999999" customHeight="1" thickBot="1" x14ac:dyDescent="0.25">
      <c r="A109" s="249"/>
      <c r="B109" s="252"/>
      <c r="C109" s="18"/>
      <c r="D109" s="14"/>
      <c r="E109" s="42"/>
      <c r="F109" s="138"/>
      <c r="G109" s="144"/>
      <c r="H109" s="43"/>
      <c r="I109" s="43">
        <f>H109/C108</f>
        <v>0</v>
      </c>
      <c r="J109" s="43">
        <f t="shared" si="25"/>
        <v>0</v>
      </c>
      <c r="K109" s="172"/>
      <c r="L109" s="172"/>
      <c r="M109" s="175"/>
      <c r="N109" s="44"/>
      <c r="O109" s="44"/>
      <c r="P109" s="45" t="str">
        <f>IF(M107&lt;0.25,"PROPOSTA VÁLIDA",((IF(J109&gt;N108,"PROPOSTA FORA DOS LIMITES",IF(J109&lt;O108,"PROPOSTA FORA DOS LIMITES","PROPOSTA VÁLIDA")))))</f>
        <v>PROPOSTA FORA DOS LIMITES</v>
      </c>
      <c r="Q109" s="45">
        <f t="shared" si="26"/>
        <v>0</v>
      </c>
      <c r="R109" s="187"/>
      <c r="S109" s="169"/>
    </row>
    <row r="110" spans="1:19" ht="19.899999999999999" customHeight="1" thickTop="1" x14ac:dyDescent="0.2">
      <c r="A110" s="247" t="s">
        <v>686</v>
      </c>
      <c r="B110" s="250" t="s">
        <v>687</v>
      </c>
      <c r="C110" s="9"/>
      <c r="D110" s="36" t="s">
        <v>678</v>
      </c>
      <c r="E110" s="19" t="s">
        <v>677</v>
      </c>
      <c r="F110" s="36" t="s">
        <v>679</v>
      </c>
      <c r="G110" s="142">
        <v>4559</v>
      </c>
      <c r="H110" s="21">
        <v>0</v>
      </c>
      <c r="I110" s="21">
        <f>H110/C111</f>
        <v>0</v>
      </c>
      <c r="J110" s="21">
        <f t="shared" ref="J110:J112" si="29">G110+I110</f>
        <v>4559</v>
      </c>
      <c r="K110" s="170">
        <f>_xlfn.STDEV.S(J110:J112)</f>
        <v>2632.1398772355042</v>
      </c>
      <c r="L110" s="170">
        <f>(SUM(J110:J112))/((IF(J110=0,0,1))+(IF(J111=0,0,1))+(IF(J112=0,0,1)))</f>
        <v>4559</v>
      </c>
      <c r="M110" s="173">
        <f>K110/L110</f>
        <v>0.57735026918962584</v>
      </c>
      <c r="N110" s="37"/>
      <c r="O110" s="37"/>
      <c r="P110" s="38" t="str">
        <f>IF(M110&lt;0.25,"PROPOSTA VÁLIDA",((IF(J110&gt;N111,"PROPOSTA FORA DOS LIMITES",IF(J110&lt;O111,"PROPOSTA FORA DOS LIMITES","PROPOSTA VÁLIDA")))))</f>
        <v>PROPOSTA VÁLIDA</v>
      </c>
      <c r="Q110" s="38">
        <f t="shared" ref="Q110:Q112" si="30">(IF(P110="PROPOSTA VÁLIDA",J110,0))</f>
        <v>4559</v>
      </c>
      <c r="R110" s="185">
        <f>IF(M110&lt;0.25,AVERAGE(Q110:Q112),((IF(J110&gt;N111,0,IF(J110&lt;O111,0,J110)))+(IF(J111&gt;N111,0,IF(J111&lt;O111,0,J111)))+(IF(J112&gt;N111,0,IF(J112&lt;O111,0,J112))))/(((IF(J110&gt;N111,0,IF(J110&lt;O111,0,1))))+((IF(J111&gt;N111,0,IF(J111&lt;O111,0,1))))+((IF(J112&gt;N111,0,IF(J112&lt;O111,0,1))))))</f>
        <v>4559</v>
      </c>
      <c r="S110" s="167">
        <f>IFERROR(R110*C111,"")</f>
        <v>4559</v>
      </c>
    </row>
    <row r="111" spans="1:19" ht="19.899999999999999" customHeight="1" x14ac:dyDescent="0.2">
      <c r="A111" s="248"/>
      <c r="B111" s="251"/>
      <c r="C111" s="17">
        <v>1</v>
      </c>
      <c r="D111" s="10"/>
      <c r="E111" s="39"/>
      <c r="F111" s="66"/>
      <c r="G111" s="143"/>
      <c r="H111" s="20"/>
      <c r="I111" s="20">
        <f>H111/C111</f>
        <v>0</v>
      </c>
      <c r="J111" s="20">
        <f t="shared" si="29"/>
        <v>0</v>
      </c>
      <c r="K111" s="171"/>
      <c r="L111" s="171"/>
      <c r="M111" s="174"/>
      <c r="N111" s="40">
        <f>IF(M110&gt;=0.25,L110+K110,"CV&lt;25%")</f>
        <v>7191.1398772355042</v>
      </c>
      <c r="O111" s="40">
        <f>IF(M110&gt;=0.25,L110-K110,"CV&lt;25%")</f>
        <v>1926.8601227644958</v>
      </c>
      <c r="P111" s="41" t="str">
        <f>IF(M110&lt;0.25,"PROPOSTA VÁLIDA",((IF(J111&gt;N111,"PROPOSTA FORA DOS LIMITES",IF(J111&lt;O111,"PROPOSTA FORA DOS LIMITES","PROPOSTA VÁLIDA")))))</f>
        <v>PROPOSTA FORA DOS LIMITES</v>
      </c>
      <c r="Q111" s="41">
        <f t="shared" si="30"/>
        <v>0</v>
      </c>
      <c r="R111" s="186"/>
      <c r="S111" s="168"/>
    </row>
    <row r="112" spans="1:19" ht="19.899999999999999" customHeight="1" thickBot="1" x14ac:dyDescent="0.25">
      <c r="A112" s="249"/>
      <c r="B112" s="252"/>
      <c r="C112" s="18"/>
      <c r="D112" s="14"/>
      <c r="E112" s="42"/>
      <c r="F112" s="138"/>
      <c r="G112" s="144"/>
      <c r="H112" s="43"/>
      <c r="I112" s="43">
        <f>H112/C111</f>
        <v>0</v>
      </c>
      <c r="J112" s="43">
        <f t="shared" si="29"/>
        <v>0</v>
      </c>
      <c r="K112" s="172"/>
      <c r="L112" s="172"/>
      <c r="M112" s="175"/>
      <c r="N112" s="44"/>
      <c r="O112" s="44"/>
      <c r="P112" s="45" t="str">
        <f>IF(M110&lt;0.25,"PROPOSTA VÁLIDA",((IF(J112&gt;N111,"PROPOSTA FORA DOS LIMITES",IF(J112&lt;O111,"PROPOSTA FORA DOS LIMITES","PROPOSTA VÁLIDA")))))</f>
        <v>PROPOSTA FORA DOS LIMITES</v>
      </c>
      <c r="Q112" s="45">
        <f t="shared" si="30"/>
        <v>0</v>
      </c>
      <c r="R112" s="187"/>
      <c r="S112" s="169"/>
    </row>
    <row r="113" spans="1:19" ht="19.899999999999999" customHeight="1" thickTop="1" x14ac:dyDescent="0.2">
      <c r="A113" s="247" t="s">
        <v>688</v>
      </c>
      <c r="B113" s="250" t="s">
        <v>689</v>
      </c>
      <c r="C113" s="9"/>
      <c r="D113" s="36" t="s">
        <v>678</v>
      </c>
      <c r="E113" s="19" t="s">
        <v>677</v>
      </c>
      <c r="F113" s="36" t="s">
        <v>679</v>
      </c>
      <c r="G113" s="142">
        <v>3720</v>
      </c>
      <c r="H113" s="21">
        <v>0</v>
      </c>
      <c r="I113" s="21">
        <f>H113/C114</f>
        <v>0</v>
      </c>
      <c r="J113" s="21">
        <f t="shared" ref="J113:J115" si="31">G113+I113</f>
        <v>3720</v>
      </c>
      <c r="K113" s="170">
        <f>_xlfn.STDEV.S(J113:J115)</f>
        <v>2147.7430013854078</v>
      </c>
      <c r="L113" s="170">
        <f>(SUM(J113:J115))/((IF(J113=0,0,1))+(IF(J114=0,0,1))+(IF(J115=0,0,1)))</f>
        <v>3720</v>
      </c>
      <c r="M113" s="173">
        <f>K113/L113</f>
        <v>0.57735026918962573</v>
      </c>
      <c r="N113" s="37"/>
      <c r="O113" s="37"/>
      <c r="P113" s="38" t="str">
        <f>IF(M113&lt;0.25,"PROPOSTA VÁLIDA",((IF(J113&gt;N114,"PROPOSTA FORA DOS LIMITES",IF(J113&lt;O114,"PROPOSTA FORA DOS LIMITES","PROPOSTA VÁLIDA")))))</f>
        <v>PROPOSTA VÁLIDA</v>
      </c>
      <c r="Q113" s="38">
        <f t="shared" ref="Q113:Q115" si="32">(IF(P113="PROPOSTA VÁLIDA",J113,0))</f>
        <v>3720</v>
      </c>
      <c r="R113" s="185">
        <f>IF(M113&lt;0.25,AVERAGE(Q113:Q115),((IF(J113&gt;N114,0,IF(J113&lt;O114,0,J113)))+(IF(J114&gt;N114,0,IF(J114&lt;O114,0,J114)))+(IF(J115&gt;N114,0,IF(J115&lt;O114,0,J115))))/(((IF(J113&gt;N114,0,IF(J113&lt;O114,0,1))))+((IF(J114&gt;N114,0,IF(J114&lt;O114,0,1))))+((IF(J115&gt;N114,0,IF(J115&lt;O114,0,1))))))</f>
        <v>3720</v>
      </c>
      <c r="S113" s="167">
        <f>IFERROR(R113*C114,"")</f>
        <v>7440</v>
      </c>
    </row>
    <row r="114" spans="1:19" ht="19.899999999999999" customHeight="1" x14ac:dyDescent="0.2">
      <c r="A114" s="248"/>
      <c r="B114" s="251"/>
      <c r="C114" s="17">
        <v>2</v>
      </c>
      <c r="D114" s="10"/>
      <c r="E114" s="39"/>
      <c r="F114" s="66"/>
      <c r="G114" s="143"/>
      <c r="H114" s="20"/>
      <c r="I114" s="20">
        <f>H114/C114</f>
        <v>0</v>
      </c>
      <c r="J114" s="20">
        <f t="shared" si="31"/>
        <v>0</v>
      </c>
      <c r="K114" s="171"/>
      <c r="L114" s="171"/>
      <c r="M114" s="174"/>
      <c r="N114" s="40">
        <f>IF(M113&gt;=0.25,L113+K113,"CV&lt;25%")</f>
        <v>5867.7430013854082</v>
      </c>
      <c r="O114" s="40">
        <f>IF(M113&gt;=0.25,L113-K113,"CV&lt;25%")</f>
        <v>1572.2569986145922</v>
      </c>
      <c r="P114" s="41" t="str">
        <f>IF(M113&lt;0.25,"PROPOSTA VÁLIDA",((IF(J114&gt;N114,"PROPOSTA FORA DOS LIMITES",IF(J114&lt;O114,"PROPOSTA FORA DOS LIMITES","PROPOSTA VÁLIDA")))))</f>
        <v>PROPOSTA FORA DOS LIMITES</v>
      </c>
      <c r="Q114" s="41">
        <f t="shared" si="32"/>
        <v>0</v>
      </c>
      <c r="R114" s="186"/>
      <c r="S114" s="168"/>
    </row>
    <row r="115" spans="1:19" ht="19.899999999999999" customHeight="1" thickBot="1" x14ac:dyDescent="0.25">
      <c r="A115" s="249"/>
      <c r="B115" s="252"/>
      <c r="C115" s="18"/>
      <c r="D115" s="14"/>
      <c r="E115" s="42"/>
      <c r="F115" s="138"/>
      <c r="G115" s="144"/>
      <c r="H115" s="43"/>
      <c r="I115" s="43">
        <f>H115/C114</f>
        <v>0</v>
      </c>
      <c r="J115" s="43">
        <f t="shared" si="31"/>
        <v>0</v>
      </c>
      <c r="K115" s="172"/>
      <c r="L115" s="172"/>
      <c r="M115" s="175"/>
      <c r="N115" s="44"/>
      <c r="O115" s="44"/>
      <c r="P115" s="45" t="str">
        <f>IF(M113&lt;0.25,"PROPOSTA VÁLIDA",((IF(J115&gt;N114,"PROPOSTA FORA DOS LIMITES",IF(J115&lt;O114,"PROPOSTA FORA DOS LIMITES","PROPOSTA VÁLIDA")))))</f>
        <v>PROPOSTA FORA DOS LIMITES</v>
      </c>
      <c r="Q115" s="45">
        <f t="shared" si="32"/>
        <v>0</v>
      </c>
      <c r="R115" s="187"/>
      <c r="S115" s="169"/>
    </row>
    <row r="116" spans="1:19" ht="19.899999999999999" customHeight="1" thickTop="1" x14ac:dyDescent="0.2">
      <c r="A116" s="247" t="s">
        <v>690</v>
      </c>
      <c r="B116" s="250" t="s">
        <v>691</v>
      </c>
      <c r="C116" s="9"/>
      <c r="D116" s="36" t="s">
        <v>678</v>
      </c>
      <c r="E116" s="19" t="s">
        <v>677</v>
      </c>
      <c r="F116" s="36" t="s">
        <v>679</v>
      </c>
      <c r="G116" s="142">
        <v>3516</v>
      </c>
      <c r="H116" s="21">
        <v>0</v>
      </c>
      <c r="I116" s="21">
        <f>H116/C117</f>
        <v>0</v>
      </c>
      <c r="J116" s="21">
        <f t="shared" ref="J116:J118" si="33">G116+I116</f>
        <v>3516</v>
      </c>
      <c r="K116" s="170">
        <f>_xlfn.STDEV.S(J116:J118)</f>
        <v>2029.9635464707242</v>
      </c>
      <c r="L116" s="170">
        <f>(SUM(J116:J118))/((IF(J116=0,0,1))+(IF(J117=0,0,1))+(IF(J118=0,0,1)))</f>
        <v>3516</v>
      </c>
      <c r="M116" s="173">
        <f>K116/L116</f>
        <v>0.57735026918962573</v>
      </c>
      <c r="N116" s="37"/>
      <c r="O116" s="37"/>
      <c r="P116" s="38" t="str">
        <f>IF(M116&lt;0.25,"PROPOSTA VÁLIDA",((IF(J116&gt;N117,"PROPOSTA FORA DOS LIMITES",IF(J116&lt;O117,"PROPOSTA FORA DOS LIMITES","PROPOSTA VÁLIDA")))))</f>
        <v>PROPOSTA VÁLIDA</v>
      </c>
      <c r="Q116" s="38">
        <f t="shared" ref="Q116:Q118" si="34">(IF(P116="PROPOSTA VÁLIDA",J116,0))</f>
        <v>3516</v>
      </c>
      <c r="R116" s="185">
        <f>IF(M116&lt;0.25,AVERAGE(Q116:Q118),((IF(J116&gt;N117,0,IF(J116&lt;O117,0,J116)))+(IF(J117&gt;N117,0,IF(J117&lt;O117,0,J117)))+(IF(J118&gt;N117,0,IF(J118&lt;O117,0,J118))))/(((IF(J116&gt;N117,0,IF(J116&lt;O117,0,1))))+((IF(J117&gt;N117,0,IF(J117&lt;O117,0,1))))+((IF(J118&gt;N117,0,IF(J118&lt;O117,0,1))))))</f>
        <v>3516</v>
      </c>
      <c r="S116" s="167">
        <f>IFERROR(R116*C117,"")</f>
        <v>3516</v>
      </c>
    </row>
    <row r="117" spans="1:19" ht="19.899999999999999" customHeight="1" x14ac:dyDescent="0.2">
      <c r="A117" s="248"/>
      <c r="B117" s="251"/>
      <c r="C117" s="17">
        <v>1</v>
      </c>
      <c r="D117" s="10"/>
      <c r="E117" s="39"/>
      <c r="F117" s="66"/>
      <c r="G117" s="143"/>
      <c r="H117" s="20"/>
      <c r="I117" s="20">
        <f>H117/C117</f>
        <v>0</v>
      </c>
      <c r="J117" s="20">
        <f t="shared" si="33"/>
        <v>0</v>
      </c>
      <c r="K117" s="171"/>
      <c r="L117" s="171"/>
      <c r="M117" s="174"/>
      <c r="N117" s="40">
        <f>IF(M116&gt;=0.25,L116+K116,"CV&lt;25%")</f>
        <v>5545.9635464707244</v>
      </c>
      <c r="O117" s="40">
        <f>IF(M116&gt;=0.25,L116-K116,"CV&lt;25%")</f>
        <v>1486.0364535292758</v>
      </c>
      <c r="P117" s="41" t="str">
        <f>IF(M116&lt;0.25,"PROPOSTA VÁLIDA",((IF(J117&gt;N117,"PROPOSTA FORA DOS LIMITES",IF(J117&lt;O117,"PROPOSTA FORA DOS LIMITES","PROPOSTA VÁLIDA")))))</f>
        <v>PROPOSTA FORA DOS LIMITES</v>
      </c>
      <c r="Q117" s="41">
        <f t="shared" si="34"/>
        <v>0</v>
      </c>
      <c r="R117" s="186"/>
      <c r="S117" s="168"/>
    </row>
    <row r="118" spans="1:19" ht="19.899999999999999" customHeight="1" thickBot="1" x14ac:dyDescent="0.25">
      <c r="A118" s="249"/>
      <c r="B118" s="252"/>
      <c r="C118" s="18"/>
      <c r="D118" s="14"/>
      <c r="E118" s="42"/>
      <c r="F118" s="138"/>
      <c r="G118" s="144"/>
      <c r="H118" s="43"/>
      <c r="I118" s="43">
        <f>H118/C117</f>
        <v>0</v>
      </c>
      <c r="J118" s="43">
        <f t="shared" si="33"/>
        <v>0</v>
      </c>
      <c r="K118" s="172"/>
      <c r="L118" s="172"/>
      <c r="M118" s="175"/>
      <c r="N118" s="44"/>
      <c r="O118" s="44"/>
      <c r="P118" s="45" t="str">
        <f>IF(M116&lt;0.25,"PROPOSTA VÁLIDA",((IF(J118&gt;N117,"PROPOSTA FORA DOS LIMITES",IF(J118&lt;O117,"PROPOSTA FORA DOS LIMITES","PROPOSTA VÁLIDA")))))</f>
        <v>PROPOSTA FORA DOS LIMITES</v>
      </c>
      <c r="Q118" s="45">
        <f t="shared" si="34"/>
        <v>0</v>
      </c>
      <c r="R118" s="187"/>
      <c r="S118" s="169"/>
    </row>
    <row r="119" spans="1:19" ht="19.899999999999999" customHeight="1" thickTop="1" x14ac:dyDescent="0.2">
      <c r="A119" s="247" t="s">
        <v>692</v>
      </c>
      <c r="B119" s="250" t="s">
        <v>693</v>
      </c>
      <c r="C119" s="9"/>
      <c r="D119" s="36" t="s">
        <v>678</v>
      </c>
      <c r="E119" s="19" t="s">
        <v>677</v>
      </c>
      <c r="F119" s="36" t="s">
        <v>679</v>
      </c>
      <c r="G119" s="142">
        <v>4559</v>
      </c>
      <c r="H119" s="21">
        <v>0</v>
      </c>
      <c r="I119" s="21">
        <f>H119/C120</f>
        <v>0</v>
      </c>
      <c r="J119" s="21">
        <f t="shared" ref="J119:J121" si="35">G119+I119</f>
        <v>4559</v>
      </c>
      <c r="K119" s="170">
        <f>_xlfn.STDEV.S(J119:J121)</f>
        <v>2632.1398772355042</v>
      </c>
      <c r="L119" s="170">
        <f>(SUM(J119:J121))/((IF(J119=0,0,1))+(IF(J120=0,0,1))+(IF(J121=0,0,1)))</f>
        <v>4559</v>
      </c>
      <c r="M119" s="173">
        <f>K119/L119</f>
        <v>0.57735026918962584</v>
      </c>
      <c r="N119" s="37"/>
      <c r="O119" s="37"/>
      <c r="P119" s="38" t="str">
        <f>IF(M119&lt;0.25,"PROPOSTA VÁLIDA",((IF(J119&gt;N120,"PROPOSTA FORA DOS LIMITES",IF(J119&lt;O120,"PROPOSTA FORA DOS LIMITES","PROPOSTA VÁLIDA")))))</f>
        <v>PROPOSTA VÁLIDA</v>
      </c>
      <c r="Q119" s="38">
        <f t="shared" ref="Q119:Q121" si="36">(IF(P119="PROPOSTA VÁLIDA",J119,0))</f>
        <v>4559</v>
      </c>
      <c r="R119" s="185">
        <f>IF(M119&lt;0.25,AVERAGE(Q119:Q121),((IF(J119&gt;N120,0,IF(J119&lt;O120,0,J119)))+(IF(J120&gt;N120,0,IF(J120&lt;O120,0,J120)))+(IF(J121&gt;N120,0,IF(J121&lt;O120,0,J121))))/(((IF(J119&gt;N120,0,IF(J119&lt;O120,0,1))))+((IF(J120&gt;N120,0,IF(J120&lt;O120,0,1))))+((IF(J121&gt;N120,0,IF(J121&lt;O120,0,1))))))</f>
        <v>4559</v>
      </c>
      <c r="S119" s="167">
        <f>IFERROR(R119*C120,"")</f>
        <v>9118</v>
      </c>
    </row>
    <row r="120" spans="1:19" ht="19.899999999999999" customHeight="1" x14ac:dyDescent="0.2">
      <c r="A120" s="248"/>
      <c r="B120" s="251"/>
      <c r="C120" s="17">
        <v>2</v>
      </c>
      <c r="D120" s="10"/>
      <c r="E120" s="39"/>
      <c r="F120" s="66"/>
      <c r="G120" s="143"/>
      <c r="H120" s="20"/>
      <c r="I120" s="20">
        <f>H120/C120</f>
        <v>0</v>
      </c>
      <c r="J120" s="20">
        <f t="shared" si="35"/>
        <v>0</v>
      </c>
      <c r="K120" s="171"/>
      <c r="L120" s="171"/>
      <c r="M120" s="174"/>
      <c r="N120" s="40">
        <f>IF(M119&gt;=0.25,L119+K119,"CV&lt;25%")</f>
        <v>7191.1398772355042</v>
      </c>
      <c r="O120" s="40">
        <f>IF(M119&gt;=0.25,L119-K119,"CV&lt;25%")</f>
        <v>1926.8601227644958</v>
      </c>
      <c r="P120" s="41" t="str">
        <f>IF(M119&lt;0.25,"PROPOSTA VÁLIDA",((IF(J120&gt;N120,"PROPOSTA FORA DOS LIMITES",IF(J120&lt;O120,"PROPOSTA FORA DOS LIMITES","PROPOSTA VÁLIDA")))))</f>
        <v>PROPOSTA FORA DOS LIMITES</v>
      </c>
      <c r="Q120" s="41">
        <f t="shared" si="36"/>
        <v>0</v>
      </c>
      <c r="R120" s="186"/>
      <c r="S120" s="168"/>
    </row>
    <row r="121" spans="1:19" ht="19.899999999999999" customHeight="1" thickBot="1" x14ac:dyDescent="0.25">
      <c r="A121" s="249"/>
      <c r="B121" s="252"/>
      <c r="C121" s="18"/>
      <c r="D121" s="14"/>
      <c r="E121" s="42"/>
      <c r="F121" s="138"/>
      <c r="G121" s="144"/>
      <c r="H121" s="43"/>
      <c r="I121" s="43">
        <f>H121/C120</f>
        <v>0</v>
      </c>
      <c r="J121" s="43">
        <f t="shared" si="35"/>
        <v>0</v>
      </c>
      <c r="K121" s="172"/>
      <c r="L121" s="172"/>
      <c r="M121" s="175"/>
      <c r="N121" s="44"/>
      <c r="O121" s="44"/>
      <c r="P121" s="45" t="str">
        <f>IF(M119&lt;0.25,"PROPOSTA VÁLIDA",((IF(J121&gt;N120,"PROPOSTA FORA DOS LIMITES",IF(J121&lt;O120,"PROPOSTA FORA DOS LIMITES","PROPOSTA VÁLIDA")))))</f>
        <v>PROPOSTA FORA DOS LIMITES</v>
      </c>
      <c r="Q121" s="45">
        <f t="shared" si="36"/>
        <v>0</v>
      </c>
      <c r="R121" s="187"/>
      <c r="S121" s="169"/>
    </row>
    <row r="122" spans="1:19" ht="19.899999999999999" customHeight="1" thickTop="1" x14ac:dyDescent="0.2">
      <c r="A122" s="247" t="s">
        <v>694</v>
      </c>
      <c r="B122" s="250" t="s">
        <v>695</v>
      </c>
      <c r="C122" s="9"/>
      <c r="D122" s="36" t="s">
        <v>678</v>
      </c>
      <c r="E122" s="19" t="s">
        <v>677</v>
      </c>
      <c r="F122" s="36" t="s">
        <v>679</v>
      </c>
      <c r="G122" s="142">
        <v>4559</v>
      </c>
      <c r="H122" s="21">
        <v>0</v>
      </c>
      <c r="I122" s="21">
        <f>H122/C123</f>
        <v>0</v>
      </c>
      <c r="J122" s="21">
        <f t="shared" ref="J122:J124" si="37">G122+I122</f>
        <v>4559</v>
      </c>
      <c r="K122" s="170">
        <f>_xlfn.STDEV.S(J122:J124)</f>
        <v>2632.1398772355042</v>
      </c>
      <c r="L122" s="170">
        <f>(SUM(J122:J124))/((IF(J122=0,0,1))+(IF(J123=0,0,1))+(IF(J124=0,0,1)))</f>
        <v>4559</v>
      </c>
      <c r="M122" s="173">
        <f>K122/L122</f>
        <v>0.57735026918962584</v>
      </c>
      <c r="N122" s="37"/>
      <c r="O122" s="37"/>
      <c r="P122" s="38" t="str">
        <f>IF(M122&lt;0.25,"PROPOSTA VÁLIDA",((IF(J122&gt;N123,"PROPOSTA FORA DOS LIMITES",IF(J122&lt;O123,"PROPOSTA FORA DOS LIMITES","PROPOSTA VÁLIDA")))))</f>
        <v>PROPOSTA VÁLIDA</v>
      </c>
      <c r="Q122" s="38">
        <f t="shared" ref="Q122:Q124" si="38">(IF(P122="PROPOSTA VÁLIDA",J122,0))</f>
        <v>4559</v>
      </c>
      <c r="R122" s="185">
        <f>IF(M122&lt;0.25,AVERAGE(Q122:Q124),((IF(J122&gt;N123,0,IF(J122&lt;O123,0,J122)))+(IF(J123&gt;N123,0,IF(J123&lt;O123,0,J123)))+(IF(J124&gt;N123,0,IF(J124&lt;O123,0,J124))))/(((IF(J122&gt;N123,0,IF(J122&lt;O123,0,1))))+((IF(J123&gt;N123,0,IF(J123&lt;O123,0,1))))+((IF(J124&gt;N123,0,IF(J124&lt;O123,0,1))))))</f>
        <v>4559</v>
      </c>
      <c r="S122" s="167">
        <f>IFERROR(R122*C123,"")</f>
        <v>4559</v>
      </c>
    </row>
    <row r="123" spans="1:19" ht="19.899999999999999" customHeight="1" x14ac:dyDescent="0.2">
      <c r="A123" s="248"/>
      <c r="B123" s="251"/>
      <c r="C123" s="17">
        <v>1</v>
      </c>
      <c r="D123" s="10"/>
      <c r="E123" s="39"/>
      <c r="F123" s="66"/>
      <c r="G123" s="143"/>
      <c r="H123" s="20"/>
      <c r="I123" s="20">
        <f>H123/C123</f>
        <v>0</v>
      </c>
      <c r="J123" s="20">
        <f t="shared" si="37"/>
        <v>0</v>
      </c>
      <c r="K123" s="171"/>
      <c r="L123" s="171"/>
      <c r="M123" s="174"/>
      <c r="N123" s="40">
        <f>IF(M122&gt;=0.25,L122+K122,"CV&lt;25%")</f>
        <v>7191.1398772355042</v>
      </c>
      <c r="O123" s="40">
        <f>IF(M122&gt;=0.25,L122-K122,"CV&lt;25%")</f>
        <v>1926.8601227644958</v>
      </c>
      <c r="P123" s="41" t="str">
        <f>IF(M122&lt;0.25,"PROPOSTA VÁLIDA",((IF(J123&gt;N123,"PROPOSTA FORA DOS LIMITES",IF(J123&lt;O123,"PROPOSTA FORA DOS LIMITES","PROPOSTA VÁLIDA")))))</f>
        <v>PROPOSTA FORA DOS LIMITES</v>
      </c>
      <c r="Q123" s="41">
        <f t="shared" si="38"/>
        <v>0</v>
      </c>
      <c r="R123" s="186"/>
      <c r="S123" s="168"/>
    </row>
    <row r="124" spans="1:19" ht="19.899999999999999" customHeight="1" thickBot="1" x14ac:dyDescent="0.25">
      <c r="A124" s="249"/>
      <c r="B124" s="252"/>
      <c r="C124" s="18"/>
      <c r="D124" s="14"/>
      <c r="E124" s="42"/>
      <c r="F124" s="138"/>
      <c r="G124" s="144"/>
      <c r="H124" s="43"/>
      <c r="I124" s="43">
        <f>H124/C123</f>
        <v>0</v>
      </c>
      <c r="J124" s="43">
        <f t="shared" si="37"/>
        <v>0</v>
      </c>
      <c r="K124" s="172"/>
      <c r="L124" s="172"/>
      <c r="M124" s="175"/>
      <c r="N124" s="44"/>
      <c r="O124" s="44"/>
      <c r="P124" s="45" t="str">
        <f>IF(M122&lt;0.25,"PROPOSTA VÁLIDA",((IF(J124&gt;N123,"PROPOSTA FORA DOS LIMITES",IF(J124&lt;O123,"PROPOSTA FORA DOS LIMITES","PROPOSTA VÁLIDA")))))</f>
        <v>PROPOSTA FORA DOS LIMITES</v>
      </c>
      <c r="Q124" s="45">
        <f t="shared" si="38"/>
        <v>0</v>
      </c>
      <c r="R124" s="187"/>
      <c r="S124" s="169"/>
    </row>
    <row r="125" spans="1:19" ht="19.899999999999999" customHeight="1" thickTop="1" x14ac:dyDescent="0.2">
      <c r="A125" s="247" t="s">
        <v>696</v>
      </c>
      <c r="B125" s="250" t="s">
        <v>697</v>
      </c>
      <c r="C125" s="9"/>
      <c r="D125" s="36" t="s">
        <v>678</v>
      </c>
      <c r="E125" s="19" t="s">
        <v>677</v>
      </c>
      <c r="F125" s="36" t="s">
        <v>679</v>
      </c>
      <c r="G125" s="142">
        <v>5815</v>
      </c>
      <c r="H125" s="21">
        <v>0</v>
      </c>
      <c r="I125" s="21">
        <f>H125/C126</f>
        <v>0</v>
      </c>
      <c r="J125" s="21">
        <f t="shared" ref="J125:J127" si="39">G125+I125</f>
        <v>5815</v>
      </c>
      <c r="K125" s="170">
        <f>_xlfn.STDEV.S(J125:J127)</f>
        <v>3357.2918153376736</v>
      </c>
      <c r="L125" s="170">
        <f>(SUM(J125:J127))/((IF(J125=0,0,1))+(IF(J126=0,0,1))+(IF(J127=0,0,1)))</f>
        <v>5815</v>
      </c>
      <c r="M125" s="173">
        <f>K125/L125</f>
        <v>0.57735026918962573</v>
      </c>
      <c r="N125" s="37"/>
      <c r="O125" s="37"/>
      <c r="P125" s="38" t="str">
        <f>IF(M125&lt;0.25,"PROPOSTA VÁLIDA",((IF(J125&gt;N126,"PROPOSTA FORA DOS LIMITES",IF(J125&lt;O126,"PROPOSTA FORA DOS LIMITES","PROPOSTA VÁLIDA")))))</f>
        <v>PROPOSTA VÁLIDA</v>
      </c>
      <c r="Q125" s="38">
        <f t="shared" ref="Q125:Q127" si="40">(IF(P125="PROPOSTA VÁLIDA",J125,0))</f>
        <v>5815</v>
      </c>
      <c r="R125" s="185">
        <f>IF(M125&lt;0.25,AVERAGE(Q125:Q127),((IF(J125&gt;N126,0,IF(J125&lt;O126,0,J125)))+(IF(J126&gt;N126,0,IF(J126&lt;O126,0,J126)))+(IF(J127&gt;N126,0,IF(J127&lt;O126,0,J127))))/(((IF(J125&gt;N126,0,IF(J125&lt;O126,0,1))))+((IF(J126&gt;N126,0,IF(J126&lt;O126,0,1))))+((IF(J127&gt;N126,0,IF(J127&lt;O126,0,1))))))</f>
        <v>5815</v>
      </c>
      <c r="S125" s="167">
        <f>IFERROR(R125*C126,"")</f>
        <v>5815</v>
      </c>
    </row>
    <row r="126" spans="1:19" ht="19.899999999999999" customHeight="1" x14ac:dyDescent="0.2">
      <c r="A126" s="248"/>
      <c r="B126" s="251"/>
      <c r="C126" s="17">
        <v>1</v>
      </c>
      <c r="D126" s="10"/>
      <c r="E126" s="39"/>
      <c r="F126" s="66"/>
      <c r="G126" s="143"/>
      <c r="H126" s="20"/>
      <c r="I126" s="20">
        <f>H126/C126</f>
        <v>0</v>
      </c>
      <c r="J126" s="20">
        <f t="shared" si="39"/>
        <v>0</v>
      </c>
      <c r="K126" s="171"/>
      <c r="L126" s="171"/>
      <c r="M126" s="174"/>
      <c r="N126" s="40">
        <f>IF(M125&gt;=0.25,L125+K125,"CV&lt;25%")</f>
        <v>9172.2918153376741</v>
      </c>
      <c r="O126" s="40">
        <f>IF(M125&gt;=0.25,L125-K125,"CV&lt;25%")</f>
        <v>2457.7081846623264</v>
      </c>
      <c r="P126" s="41" t="str">
        <f>IF(M125&lt;0.25,"PROPOSTA VÁLIDA",((IF(J126&gt;N126,"PROPOSTA FORA DOS LIMITES",IF(J126&lt;O126,"PROPOSTA FORA DOS LIMITES","PROPOSTA VÁLIDA")))))</f>
        <v>PROPOSTA FORA DOS LIMITES</v>
      </c>
      <c r="Q126" s="41">
        <f t="shared" si="40"/>
        <v>0</v>
      </c>
      <c r="R126" s="186"/>
      <c r="S126" s="168"/>
    </row>
    <row r="127" spans="1:19" ht="19.899999999999999" customHeight="1" thickBot="1" x14ac:dyDescent="0.25">
      <c r="A127" s="249"/>
      <c r="B127" s="252"/>
      <c r="C127" s="18"/>
      <c r="D127" s="14"/>
      <c r="E127" s="42"/>
      <c r="F127" s="138"/>
      <c r="G127" s="144"/>
      <c r="H127" s="43"/>
      <c r="I127" s="43">
        <f>H127/C126</f>
        <v>0</v>
      </c>
      <c r="J127" s="43">
        <f t="shared" si="39"/>
        <v>0</v>
      </c>
      <c r="K127" s="172"/>
      <c r="L127" s="172"/>
      <c r="M127" s="175"/>
      <c r="N127" s="44"/>
      <c r="O127" s="44"/>
      <c r="P127" s="45" t="str">
        <f>IF(M125&lt;0.25,"PROPOSTA VÁLIDA",((IF(J127&gt;N126,"PROPOSTA FORA DOS LIMITES",IF(J127&lt;O126,"PROPOSTA FORA DOS LIMITES","PROPOSTA VÁLIDA")))))</f>
        <v>PROPOSTA FORA DOS LIMITES</v>
      </c>
      <c r="Q127" s="45">
        <f t="shared" si="40"/>
        <v>0</v>
      </c>
      <c r="R127" s="187"/>
      <c r="S127" s="169"/>
    </row>
    <row r="128" spans="1:19" ht="19.899999999999999" customHeight="1" thickTop="1" x14ac:dyDescent="0.2">
      <c r="A128" s="247" t="s">
        <v>698</v>
      </c>
      <c r="B128" s="250" t="s">
        <v>699</v>
      </c>
      <c r="C128" s="9"/>
      <c r="D128" s="36" t="s">
        <v>678</v>
      </c>
      <c r="E128" s="19" t="s">
        <v>677</v>
      </c>
      <c r="F128" s="36" t="s">
        <v>679</v>
      </c>
      <c r="G128" s="142">
        <v>194</v>
      </c>
      <c r="H128" s="21">
        <v>0</v>
      </c>
      <c r="I128" s="21">
        <f>H128/C129</f>
        <v>0</v>
      </c>
      <c r="J128" s="21">
        <f t="shared" ref="J128:J130" si="41">G128+I128</f>
        <v>194</v>
      </c>
      <c r="K128" s="170">
        <f>_xlfn.STDEV.S(J128:J130)</f>
        <v>112.0059522227874</v>
      </c>
      <c r="L128" s="170">
        <f>(SUM(J128:J130))/((IF(J128=0,0,1))+(IF(J129=0,0,1))+(IF(J130=0,0,1)))</f>
        <v>194</v>
      </c>
      <c r="M128" s="173">
        <f>K128/L128</f>
        <v>0.57735026918962573</v>
      </c>
      <c r="N128" s="37"/>
      <c r="O128" s="37"/>
      <c r="P128" s="38" t="str">
        <f>IF(M128&lt;0.25,"PROPOSTA VÁLIDA",((IF(J128&gt;N129,"PROPOSTA FORA DOS LIMITES",IF(J128&lt;O129,"PROPOSTA FORA DOS LIMITES","PROPOSTA VÁLIDA")))))</f>
        <v>PROPOSTA VÁLIDA</v>
      </c>
      <c r="Q128" s="38">
        <f t="shared" ref="Q128:Q130" si="42">(IF(P128="PROPOSTA VÁLIDA",J128,0))</f>
        <v>194</v>
      </c>
      <c r="R128" s="185">
        <f>IF(M128&lt;0.25,AVERAGE(Q128:Q130),((IF(J128&gt;N129,0,IF(J128&lt;O129,0,J128)))+(IF(J129&gt;N129,0,IF(J129&lt;O129,0,J129)))+(IF(J130&gt;N129,0,IF(J130&lt;O129,0,J130))))/(((IF(J128&gt;N129,0,IF(J128&lt;O129,0,1))))+((IF(J129&gt;N129,0,IF(J129&lt;O129,0,1))))+((IF(J130&gt;N129,0,IF(J130&lt;O129,0,1))))))</f>
        <v>194</v>
      </c>
      <c r="S128" s="167">
        <f>IFERROR(R128*C129,"")</f>
        <v>3104</v>
      </c>
    </row>
    <row r="129" spans="1:19" ht="19.899999999999999" customHeight="1" x14ac:dyDescent="0.2">
      <c r="A129" s="248"/>
      <c r="B129" s="251"/>
      <c r="C129" s="17">
        <v>16</v>
      </c>
      <c r="D129" s="10"/>
      <c r="E129" s="39"/>
      <c r="F129" s="66"/>
      <c r="G129" s="143"/>
      <c r="H129" s="20"/>
      <c r="I129" s="20">
        <f>H129/C129</f>
        <v>0</v>
      </c>
      <c r="J129" s="20">
        <f t="shared" si="41"/>
        <v>0</v>
      </c>
      <c r="K129" s="171"/>
      <c r="L129" s="171"/>
      <c r="M129" s="174"/>
      <c r="N129" s="40">
        <f>IF(M128&gt;=0.25,L128+K128,"CV&lt;25%")</f>
        <v>306.00595222278741</v>
      </c>
      <c r="O129" s="40">
        <f>IF(M128&gt;=0.25,L128-K128,"CV&lt;25%")</f>
        <v>81.9940477772126</v>
      </c>
      <c r="P129" s="41" t="str">
        <f>IF(M128&lt;0.25,"PROPOSTA VÁLIDA",((IF(J129&gt;N129,"PROPOSTA FORA DOS LIMITES",IF(J129&lt;O129,"PROPOSTA FORA DOS LIMITES","PROPOSTA VÁLIDA")))))</f>
        <v>PROPOSTA FORA DOS LIMITES</v>
      </c>
      <c r="Q129" s="41">
        <f t="shared" si="42"/>
        <v>0</v>
      </c>
      <c r="R129" s="186"/>
      <c r="S129" s="168"/>
    </row>
    <row r="130" spans="1:19" ht="19.899999999999999" customHeight="1" thickBot="1" x14ac:dyDescent="0.25">
      <c r="A130" s="249"/>
      <c r="B130" s="252"/>
      <c r="C130" s="18"/>
      <c r="D130" s="14"/>
      <c r="E130" s="42"/>
      <c r="F130" s="138"/>
      <c r="G130" s="144"/>
      <c r="H130" s="43"/>
      <c r="I130" s="43">
        <f>H130/C129</f>
        <v>0</v>
      </c>
      <c r="J130" s="43">
        <f t="shared" si="41"/>
        <v>0</v>
      </c>
      <c r="K130" s="172"/>
      <c r="L130" s="172"/>
      <c r="M130" s="175"/>
      <c r="N130" s="44"/>
      <c r="O130" s="44"/>
      <c r="P130" s="45" t="str">
        <f>IF(M128&lt;0.25,"PROPOSTA VÁLIDA",((IF(J130&gt;N129,"PROPOSTA FORA DOS LIMITES",IF(J130&lt;O129,"PROPOSTA FORA DOS LIMITES","PROPOSTA VÁLIDA")))))</f>
        <v>PROPOSTA FORA DOS LIMITES</v>
      </c>
      <c r="Q130" s="45">
        <f t="shared" si="42"/>
        <v>0</v>
      </c>
      <c r="R130" s="187"/>
      <c r="S130" s="169"/>
    </row>
    <row r="131" spans="1:19" ht="19.899999999999999" customHeight="1" thickTop="1" x14ac:dyDescent="0.2">
      <c r="E131" s="147"/>
    </row>
    <row r="132" spans="1:19" ht="19.899999999999999" customHeight="1" x14ac:dyDescent="0.2">
      <c r="E132" s="147"/>
    </row>
  </sheetData>
  <autoFilter ref="A4:S130" xr:uid="{00000000-0009-0000-0000-000007000000}"/>
  <mergeCells count="296">
    <mergeCell ref="A101:A103"/>
    <mergeCell ref="B101:B103"/>
    <mergeCell ref="K101:K103"/>
    <mergeCell ref="L101:L103"/>
    <mergeCell ref="M101:M103"/>
    <mergeCell ref="R101:R103"/>
    <mergeCell ref="S101:S103"/>
    <mergeCell ref="A95:A97"/>
    <mergeCell ref="B95:B97"/>
    <mergeCell ref="K95:K97"/>
    <mergeCell ref="L95:L97"/>
    <mergeCell ref="M95:M97"/>
    <mergeCell ref="R95:R97"/>
    <mergeCell ref="S95:S97"/>
    <mergeCell ref="A98:A100"/>
    <mergeCell ref="B98:B100"/>
    <mergeCell ref="K98:K100"/>
    <mergeCell ref="L98:L100"/>
    <mergeCell ref="M98:M100"/>
    <mergeCell ref="R98:R100"/>
    <mergeCell ref="S98:S100"/>
    <mergeCell ref="R92:R94"/>
    <mergeCell ref="S92:S94"/>
    <mergeCell ref="A92:A94"/>
    <mergeCell ref="B92:B94"/>
    <mergeCell ref="K92:K94"/>
    <mergeCell ref="L92:L94"/>
    <mergeCell ref="M92:M94"/>
    <mergeCell ref="A89:A91"/>
    <mergeCell ref="B89:B91"/>
    <mergeCell ref="K89:K91"/>
    <mergeCell ref="L89:L91"/>
    <mergeCell ref="M89:M91"/>
    <mergeCell ref="R89:R91"/>
    <mergeCell ref="S89:S91"/>
    <mergeCell ref="R83:R85"/>
    <mergeCell ref="S83:S85"/>
    <mergeCell ref="A86:A88"/>
    <mergeCell ref="B86:B88"/>
    <mergeCell ref="K86:K88"/>
    <mergeCell ref="L86:L88"/>
    <mergeCell ref="M86:M88"/>
    <mergeCell ref="R86:R88"/>
    <mergeCell ref="S86:S88"/>
    <mergeCell ref="A83:A85"/>
    <mergeCell ref="B83:B85"/>
    <mergeCell ref="K83:K85"/>
    <mergeCell ref="L83:L85"/>
    <mergeCell ref="M83:M85"/>
    <mergeCell ref="R77:R79"/>
    <mergeCell ref="S77:S79"/>
    <mergeCell ref="A80:A82"/>
    <mergeCell ref="B80:B82"/>
    <mergeCell ref="K80:K82"/>
    <mergeCell ref="L80:L82"/>
    <mergeCell ref="M80:M82"/>
    <mergeCell ref="R80:R82"/>
    <mergeCell ref="S80:S82"/>
    <mergeCell ref="A77:A79"/>
    <mergeCell ref="B77:B79"/>
    <mergeCell ref="K77:K79"/>
    <mergeCell ref="L77:L79"/>
    <mergeCell ref="M77:M79"/>
    <mergeCell ref="R71:R73"/>
    <mergeCell ref="S71:S73"/>
    <mergeCell ref="A74:A76"/>
    <mergeCell ref="B74:B76"/>
    <mergeCell ref="K74:K76"/>
    <mergeCell ref="L74:L76"/>
    <mergeCell ref="M74:M76"/>
    <mergeCell ref="R74:R76"/>
    <mergeCell ref="S74:S76"/>
    <mergeCell ref="A71:A73"/>
    <mergeCell ref="B71:B73"/>
    <mergeCell ref="K71:K73"/>
    <mergeCell ref="L71:L73"/>
    <mergeCell ref="M71:M73"/>
    <mergeCell ref="A68:A70"/>
    <mergeCell ref="B68:B70"/>
    <mergeCell ref="K68:K70"/>
    <mergeCell ref="L68:L70"/>
    <mergeCell ref="M68:M70"/>
    <mergeCell ref="R68:R70"/>
    <mergeCell ref="S68:S70"/>
    <mergeCell ref="A65:A67"/>
    <mergeCell ref="B65:B67"/>
    <mergeCell ref="K65:K67"/>
    <mergeCell ref="L65:L67"/>
    <mergeCell ref="M65:M67"/>
    <mergeCell ref="A62:A64"/>
    <mergeCell ref="B62:B64"/>
    <mergeCell ref="K62:K64"/>
    <mergeCell ref="L62:L64"/>
    <mergeCell ref="M62:M64"/>
    <mergeCell ref="R62:R64"/>
    <mergeCell ref="S62:S64"/>
    <mergeCell ref="R65:R67"/>
    <mergeCell ref="S65:S67"/>
    <mergeCell ref="R56:R58"/>
    <mergeCell ref="S56:S58"/>
    <mergeCell ref="A59:A61"/>
    <mergeCell ref="B59:B61"/>
    <mergeCell ref="K59:K61"/>
    <mergeCell ref="L59:L61"/>
    <mergeCell ref="M59:M61"/>
    <mergeCell ref="R59:R61"/>
    <mergeCell ref="S59:S61"/>
    <mergeCell ref="A56:A58"/>
    <mergeCell ref="B56:B58"/>
    <mergeCell ref="K56:K58"/>
    <mergeCell ref="L56:L58"/>
    <mergeCell ref="M56:M58"/>
    <mergeCell ref="R50:R52"/>
    <mergeCell ref="S50:S52"/>
    <mergeCell ref="A53:A55"/>
    <mergeCell ref="B53:B55"/>
    <mergeCell ref="K53:K55"/>
    <mergeCell ref="L53:L55"/>
    <mergeCell ref="M53:M55"/>
    <mergeCell ref="R53:R55"/>
    <mergeCell ref="S53:S55"/>
    <mergeCell ref="A50:A52"/>
    <mergeCell ref="B50:B52"/>
    <mergeCell ref="K50:K52"/>
    <mergeCell ref="L50:L52"/>
    <mergeCell ref="M50:M52"/>
    <mergeCell ref="R44:R46"/>
    <mergeCell ref="S44:S46"/>
    <mergeCell ref="A47:A49"/>
    <mergeCell ref="B47:B49"/>
    <mergeCell ref="K47:K49"/>
    <mergeCell ref="L47:L49"/>
    <mergeCell ref="M47:M49"/>
    <mergeCell ref="R47:R49"/>
    <mergeCell ref="S47:S49"/>
    <mergeCell ref="A44:A46"/>
    <mergeCell ref="B44:B46"/>
    <mergeCell ref="K44:K46"/>
    <mergeCell ref="L44:L46"/>
    <mergeCell ref="M44:M46"/>
    <mergeCell ref="R38:R40"/>
    <mergeCell ref="S38:S40"/>
    <mergeCell ref="A41:A43"/>
    <mergeCell ref="B41:B43"/>
    <mergeCell ref="K41:K43"/>
    <mergeCell ref="L41:L43"/>
    <mergeCell ref="M41:M43"/>
    <mergeCell ref="R41:R43"/>
    <mergeCell ref="S41:S43"/>
    <mergeCell ref="A38:A40"/>
    <mergeCell ref="B38:B40"/>
    <mergeCell ref="K38:K40"/>
    <mergeCell ref="L38:L40"/>
    <mergeCell ref="M38:M40"/>
    <mergeCell ref="R32:R34"/>
    <mergeCell ref="S32:S34"/>
    <mergeCell ref="A35:A37"/>
    <mergeCell ref="B35:B37"/>
    <mergeCell ref="K35:K37"/>
    <mergeCell ref="L35:L37"/>
    <mergeCell ref="M35:M37"/>
    <mergeCell ref="R35:R37"/>
    <mergeCell ref="S35:S37"/>
    <mergeCell ref="A32:A34"/>
    <mergeCell ref="B32:B34"/>
    <mergeCell ref="K32:K34"/>
    <mergeCell ref="L32:L34"/>
    <mergeCell ref="M32:M34"/>
    <mergeCell ref="R26:R28"/>
    <mergeCell ref="S26:S28"/>
    <mergeCell ref="A29:A31"/>
    <mergeCell ref="B29:B31"/>
    <mergeCell ref="K29:K31"/>
    <mergeCell ref="L29:L31"/>
    <mergeCell ref="M29:M31"/>
    <mergeCell ref="R29:R31"/>
    <mergeCell ref="S29:S31"/>
    <mergeCell ref="A26:A28"/>
    <mergeCell ref="B26:B28"/>
    <mergeCell ref="K26:K28"/>
    <mergeCell ref="L26:L28"/>
    <mergeCell ref="M26:M28"/>
    <mergeCell ref="R20:R22"/>
    <mergeCell ref="S20:S22"/>
    <mergeCell ref="A23:A25"/>
    <mergeCell ref="B23:B25"/>
    <mergeCell ref="K23:K25"/>
    <mergeCell ref="L23:L25"/>
    <mergeCell ref="M23:M25"/>
    <mergeCell ref="R23:R25"/>
    <mergeCell ref="S23:S25"/>
    <mergeCell ref="A20:A22"/>
    <mergeCell ref="B20:B22"/>
    <mergeCell ref="K20:K22"/>
    <mergeCell ref="L20:L22"/>
    <mergeCell ref="M20:M22"/>
    <mergeCell ref="R14:R16"/>
    <mergeCell ref="S14:S16"/>
    <mergeCell ref="A17:A19"/>
    <mergeCell ref="B17:B19"/>
    <mergeCell ref="K17:K19"/>
    <mergeCell ref="L17:L19"/>
    <mergeCell ref="M17:M19"/>
    <mergeCell ref="R17:R19"/>
    <mergeCell ref="S17:S19"/>
    <mergeCell ref="A14:A16"/>
    <mergeCell ref="B14:B16"/>
    <mergeCell ref="K14:K16"/>
    <mergeCell ref="L14:L16"/>
    <mergeCell ref="M14:M16"/>
    <mergeCell ref="A8:A10"/>
    <mergeCell ref="B8:B10"/>
    <mergeCell ref="K8:K10"/>
    <mergeCell ref="L8:L10"/>
    <mergeCell ref="M8:M10"/>
    <mergeCell ref="R8:R10"/>
    <mergeCell ref="S8:S10"/>
    <mergeCell ref="A11:A13"/>
    <mergeCell ref="B11:B13"/>
    <mergeCell ref="K11:K13"/>
    <mergeCell ref="L11:L13"/>
    <mergeCell ref="M11:M13"/>
    <mergeCell ref="R11:R13"/>
    <mergeCell ref="S11:S13"/>
    <mergeCell ref="A2:S2"/>
    <mergeCell ref="P4:Q4"/>
    <mergeCell ref="A5:A7"/>
    <mergeCell ref="B5:B7"/>
    <mergeCell ref="K5:K7"/>
    <mergeCell ref="L5:L7"/>
    <mergeCell ref="M5:M7"/>
    <mergeCell ref="R5:R7"/>
    <mergeCell ref="S5:S7"/>
    <mergeCell ref="A104:A106"/>
    <mergeCell ref="B104:B106"/>
    <mergeCell ref="K104:K106"/>
    <mergeCell ref="L104:L106"/>
    <mergeCell ref="M104:M106"/>
    <mergeCell ref="R104:R106"/>
    <mergeCell ref="S104:S106"/>
    <mergeCell ref="A107:A109"/>
    <mergeCell ref="B107:B109"/>
    <mergeCell ref="K107:K109"/>
    <mergeCell ref="L107:L109"/>
    <mergeCell ref="M107:M109"/>
    <mergeCell ref="R107:R109"/>
    <mergeCell ref="S107:S109"/>
    <mergeCell ref="A110:A112"/>
    <mergeCell ref="B110:B112"/>
    <mergeCell ref="K110:K112"/>
    <mergeCell ref="L110:L112"/>
    <mergeCell ref="M110:M112"/>
    <mergeCell ref="R110:R112"/>
    <mergeCell ref="S110:S112"/>
    <mergeCell ref="A113:A115"/>
    <mergeCell ref="B113:B115"/>
    <mergeCell ref="K113:K115"/>
    <mergeCell ref="L113:L115"/>
    <mergeCell ref="M113:M115"/>
    <mergeCell ref="R113:R115"/>
    <mergeCell ref="S113:S115"/>
    <mergeCell ref="A116:A118"/>
    <mergeCell ref="B116:B118"/>
    <mergeCell ref="K116:K118"/>
    <mergeCell ref="L116:L118"/>
    <mergeCell ref="M116:M118"/>
    <mergeCell ref="R116:R118"/>
    <mergeCell ref="S116:S118"/>
    <mergeCell ref="A119:A121"/>
    <mergeCell ref="B119:B121"/>
    <mergeCell ref="K119:K121"/>
    <mergeCell ref="L119:L121"/>
    <mergeCell ref="M119:M121"/>
    <mergeCell ref="R119:R121"/>
    <mergeCell ref="S119:S121"/>
    <mergeCell ref="A128:A130"/>
    <mergeCell ref="B128:B130"/>
    <mergeCell ref="K128:K130"/>
    <mergeCell ref="L128:L130"/>
    <mergeCell ref="M128:M130"/>
    <mergeCell ref="R128:R130"/>
    <mergeCell ref="S128:S130"/>
    <mergeCell ref="A122:A124"/>
    <mergeCell ref="B122:B124"/>
    <mergeCell ref="K122:K124"/>
    <mergeCell ref="L122:L124"/>
    <mergeCell ref="M122:M124"/>
    <mergeCell ref="R122:R124"/>
    <mergeCell ref="S122:S124"/>
    <mergeCell ref="A125:A127"/>
    <mergeCell ref="B125:B127"/>
    <mergeCell ref="K125:K127"/>
    <mergeCell ref="L125:L127"/>
    <mergeCell ref="M125:M127"/>
    <mergeCell ref="R125:R127"/>
    <mergeCell ref="S125:S127"/>
  </mergeCells>
  <phoneticPr fontId="10" type="noConversion"/>
  <conditionalFormatting sqref="M5:M130">
    <cfRule type="cellIs" dxfId="1" priority="9" operator="greaterThan">
      <formula>0.25</formula>
    </cfRule>
  </conditionalFormatting>
  <conditionalFormatting sqref="P5:Q130">
    <cfRule type="cellIs" dxfId="0" priority="1" operator="equal">
      <formula>"PROPOSTA FORA DOS LIMITES"</formula>
    </cfRule>
  </conditionalFormatting>
  <pageMargins left="0.31496062992125984" right="0.31496062992125984" top="0.78740157480314965" bottom="0.78740157480314965" header="0.31496062992125984" footer="0.31496062992125984"/>
  <pageSetup paperSize="8" orientation="portrait" r:id="rId1"/>
  <rowBreaks count="2" manualBreakCount="2">
    <brk id="37" max="19" man="1"/>
    <brk id="89"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Mapa Cotação-Internet-FIOCRUZ</vt:lpstr>
      <vt:lpstr>Mapa Cotação -Propostas-FIOCRUZ</vt:lpstr>
      <vt:lpstr>'Mapa Cotação -Propostas-FIOCRUZ'!Area_de_impressao</vt:lpstr>
      <vt:lpstr>'Mapa Cotação-Internet-FIOCRUZ'!Area_de_impressao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Marcio R. Camillo Flores</dc:creator>
  <cp:lastModifiedBy>CAMILA MARQUES DIAS</cp:lastModifiedBy>
  <cp:lastPrinted>2024-10-12T12:50:49Z</cp:lastPrinted>
  <dcterms:created xsi:type="dcterms:W3CDTF">2024-01-18T23:20:35Z</dcterms:created>
  <dcterms:modified xsi:type="dcterms:W3CDTF">2025-07-18T14:08:12Z</dcterms:modified>
</cp:coreProperties>
</file>